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1400" windowHeight="5895"/>
  </bookViews>
  <sheets>
    <sheet name="Лист_1" sheetId="1" r:id="rId1"/>
  </sheets>
  <calcPr calcId="125725" refMode="R1C1"/>
</workbook>
</file>

<file path=xl/calcChain.xml><?xml version="1.0" encoding="utf-8"?>
<calcChain xmlns="http://schemas.openxmlformats.org/spreadsheetml/2006/main">
  <c r="J6" i="1"/>
  <c r="J1474"/>
  <c r="G1474"/>
  <c r="J820"/>
  <c r="G820"/>
  <c r="J741"/>
  <c r="G741"/>
  <c r="J2991"/>
  <c r="G2991"/>
  <c r="J2876"/>
  <c r="G2876"/>
  <c r="J2501"/>
  <c r="G2501"/>
  <c r="J2202"/>
  <c r="G2202"/>
  <c r="J2188"/>
  <c r="G2188"/>
  <c r="J2175"/>
  <c r="G2175"/>
  <c r="J2144"/>
  <c r="G2144"/>
  <c r="J2141"/>
  <c r="G2141"/>
  <c r="J2132"/>
  <c r="G2132"/>
  <c r="J2099"/>
  <c r="G2099"/>
  <c r="J2024"/>
  <c r="G2024"/>
  <c r="J2002"/>
  <c r="G2002"/>
  <c r="J2001"/>
  <c r="G2001"/>
  <c r="J1984"/>
  <c r="G1984"/>
  <c r="J1972"/>
  <c r="G1972"/>
  <c r="J1947"/>
  <c r="G1947"/>
  <c r="J1943"/>
  <c r="G1943"/>
  <c r="J1818"/>
  <c r="G1818"/>
  <c r="J1762"/>
  <c r="G1762"/>
  <c r="J1697"/>
  <c r="G1697"/>
  <c r="J1608"/>
  <c r="G1608"/>
  <c r="J1602"/>
  <c r="G1602"/>
  <c r="J1601"/>
  <c r="G1601"/>
  <c r="J1493"/>
  <c r="G1493"/>
  <c r="J1476"/>
  <c r="G1476"/>
  <c r="J1475"/>
  <c r="G1475"/>
  <c r="J1461"/>
  <c r="G1461"/>
  <c r="J1455"/>
  <c r="G1455"/>
  <c r="J1446"/>
  <c r="G1446"/>
  <c r="J1308"/>
  <c r="G1308"/>
  <c r="J1278"/>
  <c r="G1278"/>
  <c r="J1272"/>
  <c r="G1272"/>
  <c r="J1246"/>
  <c r="G1246"/>
  <c r="J1225"/>
  <c r="G1225"/>
  <c r="J1216"/>
  <c r="G1216"/>
  <c r="J1144"/>
  <c r="G1144"/>
  <c r="J1123"/>
  <c r="G1123"/>
  <c r="J1109"/>
  <c r="G1109"/>
  <c r="J1106"/>
  <c r="G1106"/>
  <c r="J1088"/>
  <c r="G1088"/>
  <c r="J1074"/>
  <c r="G1074"/>
  <c r="J1030"/>
  <c r="G1030"/>
  <c r="J1028"/>
  <c r="G1028"/>
  <c r="J963"/>
  <c r="G963"/>
  <c r="J928"/>
  <c r="G928"/>
  <c r="J921"/>
  <c r="G921"/>
  <c r="J919"/>
  <c r="G919"/>
  <c r="J913"/>
  <c r="G913"/>
  <c r="J911"/>
  <c r="G911"/>
  <c r="J892"/>
  <c r="G892"/>
  <c r="J890"/>
  <c r="G890"/>
  <c r="J879"/>
  <c r="G879"/>
  <c r="J826"/>
  <c r="G826"/>
  <c r="J707"/>
  <c r="G707"/>
  <c r="J700"/>
  <c r="G700"/>
  <c r="J681"/>
  <c r="G681"/>
  <c r="J628"/>
  <c r="G628"/>
  <c r="J597"/>
  <c r="G597"/>
  <c r="J572"/>
  <c r="G572"/>
  <c r="J503"/>
  <c r="G503"/>
  <c r="J489"/>
  <c r="G489"/>
  <c r="J418"/>
  <c r="G418"/>
  <c r="J414"/>
  <c r="G414"/>
  <c r="J412"/>
  <c r="G412"/>
  <c r="J411"/>
  <c r="G411"/>
  <c r="J394"/>
  <c r="G394"/>
  <c r="J389"/>
  <c r="G389"/>
  <c r="J367"/>
  <c r="G367"/>
  <c r="J364"/>
  <c r="G364"/>
  <c r="J353"/>
  <c r="G353"/>
  <c r="J351"/>
  <c r="G351"/>
  <c r="J350"/>
  <c r="G350"/>
  <c r="J348"/>
  <c r="G348"/>
  <c r="J338"/>
  <c r="G338"/>
  <c r="J327"/>
  <c r="G327"/>
  <c r="J325"/>
  <c r="G325"/>
  <c r="J324"/>
  <c r="G324"/>
  <c r="J290"/>
  <c r="G290"/>
  <c r="J229"/>
  <c r="G229"/>
  <c r="J199"/>
  <c r="G199"/>
  <c r="J187"/>
  <c r="G187"/>
  <c r="J123"/>
  <c r="G123"/>
  <c r="J95"/>
  <c r="G95"/>
  <c r="J84"/>
  <c r="G84"/>
  <c r="J73"/>
  <c r="G73"/>
  <c r="J69"/>
  <c r="G69"/>
  <c r="J63"/>
  <c r="G63"/>
  <c r="J2274"/>
  <c r="G2274"/>
  <c r="J2271"/>
  <c r="G2271"/>
  <c r="J2270"/>
  <c r="G2270"/>
  <c r="J2268"/>
  <c r="G2268"/>
  <c r="J2266"/>
  <c r="G2266"/>
  <c r="J2261"/>
  <c r="G2261"/>
  <c r="J2230"/>
  <c r="G2230"/>
  <c r="J2205"/>
  <c r="G2205"/>
  <c r="J2197"/>
  <c r="G2197"/>
  <c r="J2196"/>
  <c r="G2196"/>
  <c r="J2195"/>
  <c r="G2195"/>
  <c r="J2183"/>
  <c r="G2183"/>
  <c r="J2165"/>
  <c r="G2165"/>
  <c r="J2147"/>
  <c r="G2147"/>
  <c r="J2139"/>
  <c r="G2139"/>
  <c r="J2127"/>
  <c r="G2127"/>
  <c r="J2104"/>
  <c r="G2104"/>
  <c r="J2086"/>
  <c r="G2086"/>
  <c r="J2085"/>
  <c r="G2085"/>
  <c r="J2066"/>
  <c r="G2066"/>
  <c r="J2056"/>
  <c r="G2056"/>
  <c r="J2045"/>
  <c r="G2045"/>
  <c r="J2039"/>
  <c r="G2039"/>
  <c r="J2026"/>
  <c r="G2026"/>
  <c r="J2020"/>
  <c r="G2020"/>
  <c r="J1970"/>
  <c r="G1970"/>
  <c r="J1948"/>
  <c r="G1948"/>
  <c r="J1941"/>
  <c r="G1941"/>
  <c r="J1940"/>
  <c r="G1940"/>
  <c r="J1939"/>
  <c r="G1939"/>
  <c r="J1937"/>
  <c r="G1937"/>
  <c r="J1919"/>
  <c r="G1919"/>
  <c r="J1913"/>
  <c r="G1913"/>
  <c r="J1902"/>
  <c r="G1902"/>
  <c r="J1895"/>
  <c r="G1895"/>
  <c r="J1878"/>
  <c r="G1878"/>
  <c r="J1858"/>
  <c r="G1858"/>
  <c r="J1854"/>
  <c r="G1854"/>
  <c r="J1840"/>
  <c r="G1840"/>
  <c r="J1833"/>
  <c r="G1833"/>
  <c r="J1826"/>
  <c r="G1826"/>
  <c r="J1815"/>
  <c r="G1815"/>
  <c r="J1801"/>
  <c r="G1801"/>
  <c r="J1744"/>
  <c r="G1744"/>
  <c r="J1741"/>
  <c r="G1741"/>
  <c r="J1731"/>
  <c r="G1731"/>
  <c r="J1727"/>
  <c r="G1727"/>
  <c r="J1710"/>
  <c r="G1710"/>
  <c r="J1695"/>
  <c r="G1695"/>
  <c r="J1658"/>
  <c r="G1658"/>
  <c r="J1657"/>
  <c r="G1657"/>
  <c r="J1604"/>
  <c r="G1604"/>
  <c r="J1584"/>
  <c r="G1584"/>
  <c r="J1564"/>
  <c r="G1564"/>
  <c r="J1539"/>
  <c r="G1539"/>
  <c r="J1527"/>
  <c r="G1527"/>
  <c r="J1506"/>
  <c r="G1506"/>
  <c r="J1159"/>
  <c r="G1159"/>
  <c r="J1148"/>
  <c r="G1148"/>
  <c r="J1130"/>
  <c r="G1130"/>
  <c r="J1051"/>
  <c r="G1051"/>
  <c r="J1029"/>
  <c r="G1029"/>
  <c r="J1015"/>
  <c r="G1015"/>
  <c r="J1010"/>
  <c r="G1010"/>
  <c r="J1009"/>
  <c r="G1009"/>
  <c r="J956"/>
  <c r="G956"/>
  <c r="J871"/>
  <c r="G871"/>
  <c r="J870"/>
  <c r="G870"/>
  <c r="J486"/>
  <c r="G486"/>
  <c r="J485"/>
  <c r="G485"/>
  <c r="J432"/>
  <c r="G432"/>
  <c r="J413"/>
  <c r="G413"/>
  <c r="J238"/>
  <c r="G238"/>
  <c r="J2234"/>
  <c r="G2234"/>
  <c r="J2192"/>
  <c r="G2192"/>
  <c r="J2162"/>
  <c r="G2162"/>
  <c r="J2159"/>
  <c r="G2159"/>
  <c r="J2156"/>
  <c r="G2156"/>
  <c r="J2131"/>
  <c r="G2131"/>
  <c r="J2130"/>
  <c r="G2130"/>
  <c r="J2112"/>
  <c r="G2112"/>
  <c r="J2083"/>
  <c r="G2083"/>
  <c r="J2082"/>
  <c r="G2082"/>
  <c r="J2036"/>
  <c r="G2036"/>
  <c r="J2035"/>
  <c r="G2035"/>
  <c r="J2034"/>
  <c r="G2034"/>
  <c r="J2033"/>
  <c r="G2033"/>
  <c r="J2032"/>
  <c r="G2032"/>
  <c r="J2007"/>
  <c r="G2007"/>
  <c r="J1999"/>
  <c r="G1999"/>
  <c r="J1996"/>
  <c r="G1996"/>
  <c r="J1993"/>
  <c r="G1993"/>
  <c r="J1989"/>
  <c r="G1989"/>
  <c r="J1949"/>
  <c r="G1949"/>
  <c r="J1935"/>
  <c r="G1935"/>
  <c r="J1835"/>
  <c r="G1835"/>
  <c r="J1834"/>
  <c r="G1834"/>
  <c r="J1822"/>
  <c r="G1822"/>
  <c r="J1789"/>
  <c r="G1789"/>
  <c r="J1763"/>
  <c r="G1763"/>
  <c r="J1757"/>
  <c r="G1757"/>
  <c r="J1755"/>
  <c r="G1755"/>
  <c r="J1742"/>
  <c r="G1742"/>
  <c r="J1717"/>
  <c r="G1717"/>
  <c r="J1659"/>
  <c r="G1659"/>
  <c r="J1554"/>
  <c r="G1554"/>
  <c r="J1537"/>
  <c r="G1537"/>
  <c r="J1517"/>
  <c r="G1517"/>
  <c r="J1168"/>
  <c r="G1168"/>
  <c r="J1098"/>
  <c r="G1098"/>
  <c r="J1083"/>
  <c r="G1083"/>
  <c r="J1058"/>
  <c r="G1058"/>
  <c r="J1056"/>
  <c r="G1056"/>
  <c r="J1054"/>
  <c r="G1054"/>
  <c r="J1049"/>
  <c r="G1049"/>
  <c r="J1042"/>
  <c r="G1042"/>
  <c r="J1040"/>
  <c r="G1040"/>
  <c r="J1038"/>
  <c r="G1038"/>
  <c r="J1033"/>
  <c r="G1033"/>
  <c r="J997"/>
  <c r="G997"/>
  <c r="J922"/>
  <c r="G922"/>
  <c r="J893"/>
  <c r="G893"/>
  <c r="J889"/>
  <c r="G889"/>
  <c r="J860"/>
  <c r="G860"/>
  <c r="J857"/>
  <c r="G857"/>
  <c r="J678"/>
  <c r="G678"/>
  <c r="J668"/>
  <c r="G668"/>
  <c r="J337"/>
  <c r="G337"/>
  <c r="J329"/>
  <c r="G329"/>
  <c r="J321"/>
  <c r="G321"/>
  <c r="J303"/>
  <c r="G303"/>
  <c r="J298"/>
  <c r="G298"/>
  <c r="J291"/>
  <c r="G291"/>
  <c r="J2990"/>
  <c r="G2990"/>
  <c r="J2831"/>
  <c r="G2831"/>
  <c r="J2280"/>
  <c r="G2280"/>
  <c r="J2276"/>
  <c r="G2276"/>
  <c r="J2265"/>
  <c r="G2265"/>
  <c r="J2259"/>
  <c r="G2259"/>
  <c r="J2246"/>
  <c r="G2246"/>
  <c r="J2245"/>
  <c r="G2245"/>
  <c r="J2238"/>
  <c r="G2238"/>
  <c r="J2226"/>
  <c r="G2226"/>
  <c r="J2223"/>
  <c r="G2223"/>
  <c r="J2214"/>
  <c r="G2214"/>
  <c r="J2171"/>
  <c r="G2171"/>
  <c r="J2157"/>
  <c r="G2157"/>
  <c r="J2151"/>
  <c r="G2151"/>
  <c r="J2114"/>
  <c r="G2114"/>
  <c r="J2076"/>
  <c r="G2076"/>
  <c r="J2075"/>
  <c r="G2075"/>
  <c r="J2072"/>
  <c r="G2072"/>
  <c r="J2037"/>
  <c r="G2037"/>
  <c r="J2028"/>
  <c r="G2028"/>
  <c r="J2019"/>
  <c r="G2019"/>
  <c r="J2018"/>
  <c r="G2018"/>
  <c r="J2017"/>
  <c r="G2017"/>
  <c r="J2015"/>
  <c r="G2015"/>
  <c r="J2014"/>
  <c r="G2014"/>
  <c r="J2013"/>
  <c r="G2013"/>
  <c r="J2012"/>
  <c r="G2012"/>
  <c r="J2011"/>
  <c r="G2011"/>
  <c r="J2010"/>
  <c r="G2010"/>
  <c r="J2009"/>
  <c r="G2009"/>
  <c r="J1969"/>
  <c r="G1969"/>
  <c r="J1929"/>
  <c r="G1929"/>
  <c r="J1924"/>
  <c r="G1924"/>
  <c r="J1911"/>
  <c r="G1911"/>
  <c r="J1910"/>
  <c r="G1910"/>
  <c r="J1909"/>
  <c r="G1909"/>
  <c r="J1907"/>
  <c r="G1907"/>
  <c r="J1890"/>
  <c r="G1890"/>
  <c r="J1832"/>
  <c r="G1832"/>
  <c r="J1805"/>
  <c r="G1805"/>
  <c r="J1804"/>
  <c r="G1804"/>
  <c r="J1796"/>
  <c r="G1796"/>
  <c r="J1754"/>
  <c r="G1754"/>
  <c r="J1753"/>
  <c r="G1753"/>
  <c r="J1752"/>
  <c r="G1752"/>
  <c r="J1749"/>
  <c r="G1749"/>
  <c r="J1736"/>
  <c r="G1736"/>
  <c r="J1703"/>
  <c r="G1703"/>
  <c r="J1677"/>
  <c r="G1677"/>
  <c r="J1674"/>
  <c r="G1674"/>
  <c r="J1610"/>
  <c r="G1610"/>
  <c r="J1606"/>
  <c r="G1606"/>
  <c r="J1588"/>
  <c r="G1588"/>
  <c r="J1576"/>
  <c r="G1576"/>
  <c r="J1575"/>
  <c r="G1575"/>
  <c r="J1574"/>
  <c r="G1574"/>
  <c r="J1573"/>
  <c r="G1573"/>
  <c r="J1572"/>
  <c r="G1572"/>
  <c r="J1571"/>
  <c r="G1571"/>
  <c r="J1570"/>
  <c r="G1570"/>
  <c r="J1501"/>
  <c r="G1501"/>
  <c r="J1500"/>
  <c r="G1500"/>
  <c r="J1497"/>
  <c r="G1497"/>
  <c r="J1482"/>
  <c r="G1482"/>
  <c r="J1471"/>
  <c r="G1471"/>
  <c r="J1467"/>
  <c r="G1467"/>
  <c r="J1440"/>
  <c r="G1440"/>
  <c r="J1439"/>
  <c r="G1439"/>
  <c r="J1423"/>
  <c r="G1423"/>
  <c r="J1422"/>
  <c r="G1422"/>
  <c r="J1403"/>
  <c r="G1403"/>
  <c r="J1400"/>
  <c r="G1400"/>
  <c r="J1353"/>
  <c r="G1353"/>
  <c r="J1312"/>
  <c r="G1312"/>
  <c r="J1300"/>
  <c r="G1300"/>
  <c r="J1289"/>
  <c r="G1289"/>
  <c r="J1288"/>
  <c r="G1288"/>
  <c r="J1282"/>
  <c r="G1282"/>
  <c r="J1268"/>
  <c r="G1268"/>
  <c r="J1215"/>
  <c r="G1215"/>
  <c r="J1204"/>
  <c r="G1204"/>
  <c r="J1170"/>
  <c r="G1170"/>
  <c r="J1160"/>
  <c r="G1160"/>
  <c r="J1152"/>
  <c r="G1152"/>
  <c r="J1142"/>
  <c r="G1142"/>
  <c r="J1122"/>
  <c r="G1122"/>
  <c r="J1094"/>
  <c r="G1094"/>
  <c r="J1093"/>
  <c r="G1093"/>
  <c r="J1091"/>
  <c r="G1091"/>
  <c r="J1080"/>
  <c r="G1080"/>
  <c r="J1078"/>
  <c r="G1078"/>
  <c r="J1068"/>
  <c r="G1068"/>
  <c r="J1055"/>
  <c r="G1055"/>
  <c r="J1052"/>
  <c r="G1052"/>
  <c r="J1047"/>
  <c r="G1047"/>
  <c r="J1046"/>
  <c r="G1046"/>
  <c r="J1045"/>
  <c r="G1045"/>
  <c r="J1044"/>
  <c r="G1044"/>
  <c r="J1032"/>
  <c r="G1032"/>
  <c r="J1027"/>
  <c r="G1027"/>
  <c r="J1026"/>
  <c r="G1026"/>
  <c r="J1022"/>
  <c r="G1022"/>
  <c r="J1000"/>
  <c r="G1000"/>
  <c r="J998"/>
  <c r="G998"/>
  <c r="J996"/>
  <c r="G996"/>
  <c r="J994"/>
  <c r="G994"/>
  <c r="J993"/>
  <c r="G993"/>
  <c r="J992"/>
  <c r="G992"/>
  <c r="J991"/>
  <c r="G991"/>
  <c r="J985"/>
  <c r="G985"/>
  <c r="J976"/>
  <c r="G976"/>
  <c r="J975"/>
  <c r="G975"/>
  <c r="J961"/>
  <c r="G961"/>
  <c r="J954"/>
  <c r="G954"/>
  <c r="J952"/>
  <c r="G952"/>
  <c r="J947"/>
  <c r="G947"/>
  <c r="J939"/>
  <c r="G939"/>
  <c r="J931"/>
  <c r="G931"/>
  <c r="J918"/>
  <c r="G918"/>
  <c r="J903"/>
  <c r="G903"/>
  <c r="J902"/>
  <c r="G902"/>
  <c r="J901"/>
  <c r="G901"/>
  <c r="J900"/>
  <c r="G900"/>
  <c r="J899"/>
  <c r="G899"/>
  <c r="J898"/>
  <c r="G898"/>
  <c r="J897"/>
  <c r="G897"/>
  <c r="J896"/>
  <c r="G896"/>
  <c r="J895"/>
  <c r="G895"/>
  <c r="J875"/>
  <c r="G875"/>
  <c r="J863"/>
  <c r="G863"/>
  <c r="J861"/>
  <c r="G861"/>
  <c r="J852"/>
  <c r="G852"/>
  <c r="J832"/>
  <c r="G832"/>
  <c r="J825"/>
  <c r="G825"/>
  <c r="J824"/>
  <c r="G824"/>
  <c r="J811"/>
  <c r="G811"/>
  <c r="J801"/>
  <c r="G801"/>
  <c r="J782"/>
  <c r="G782"/>
  <c r="J780"/>
  <c r="G780"/>
  <c r="J778"/>
  <c r="G778"/>
  <c r="J773"/>
  <c r="G773"/>
  <c r="J766"/>
  <c r="G766"/>
  <c r="J761"/>
  <c r="G761"/>
  <c r="J729"/>
  <c r="G729"/>
  <c r="J688"/>
  <c r="G688"/>
  <c r="J667"/>
  <c r="G667"/>
  <c r="J659"/>
  <c r="G659"/>
  <c r="J653"/>
  <c r="G653"/>
  <c r="J632"/>
  <c r="G632"/>
  <c r="J623"/>
  <c r="G623"/>
  <c r="J538"/>
  <c r="G538"/>
  <c r="J528"/>
  <c r="G528"/>
  <c r="J497"/>
  <c r="G497"/>
  <c r="J492"/>
  <c r="G492"/>
  <c r="J490"/>
  <c r="G490"/>
  <c r="J482"/>
  <c r="G482"/>
  <c r="J477"/>
  <c r="G477"/>
  <c r="J464"/>
  <c r="G464"/>
  <c r="J458"/>
  <c r="G458"/>
  <c r="J452"/>
  <c r="G452"/>
  <c r="J450"/>
  <c r="G450"/>
  <c r="J441"/>
  <c r="G441"/>
  <c r="J434"/>
  <c r="G434"/>
  <c r="J430"/>
  <c r="G430"/>
  <c r="J423"/>
  <c r="G423"/>
  <c r="J400"/>
  <c r="G400"/>
  <c r="J361"/>
  <c r="G361"/>
  <c r="J328"/>
  <c r="G328"/>
  <c r="J326"/>
  <c r="G326"/>
  <c r="J279"/>
  <c r="G279"/>
  <c r="J278"/>
  <c r="G278"/>
  <c r="J250"/>
  <c r="G250"/>
  <c r="J245"/>
  <c r="G245"/>
  <c r="J235"/>
  <c r="G235"/>
  <c r="J233"/>
  <c r="G233"/>
  <c r="J216"/>
  <c r="G216"/>
  <c r="J211"/>
  <c r="G211"/>
  <c r="J210"/>
  <c r="G210"/>
  <c r="J205"/>
  <c r="G205"/>
  <c r="J204"/>
  <c r="G204"/>
  <c r="J203"/>
  <c r="G203"/>
  <c r="J182"/>
  <c r="G182"/>
  <c r="J181"/>
  <c r="G181"/>
  <c r="J176"/>
  <c r="G176"/>
  <c r="J175"/>
  <c r="G175"/>
  <c r="J166"/>
  <c r="G166"/>
  <c r="J162"/>
  <c r="G162"/>
  <c r="J161"/>
  <c r="G161"/>
  <c r="J129"/>
  <c r="G129"/>
  <c r="J127"/>
  <c r="G127"/>
  <c r="J121"/>
  <c r="G121"/>
  <c r="J96"/>
  <c r="G96"/>
  <c r="J87"/>
  <c r="G87"/>
  <c r="J62"/>
  <c r="G62"/>
  <c r="J50"/>
  <c r="G50"/>
  <c r="J2998"/>
  <c r="G2998"/>
  <c r="J2995"/>
  <c r="G2995"/>
  <c r="J2984"/>
  <c r="G2984"/>
  <c r="J2655"/>
  <c r="G2655"/>
  <c r="J2644"/>
  <c r="G2644"/>
  <c r="J2601"/>
  <c r="G2601"/>
  <c r="J2414"/>
  <c r="G2414"/>
  <c r="J2199"/>
  <c r="J2186"/>
  <c r="G2186"/>
  <c r="J2185"/>
  <c r="J2176"/>
  <c r="G2176"/>
  <c r="J2161"/>
  <c r="G2161"/>
  <c r="J2160"/>
  <c r="G2160"/>
  <c r="J2142"/>
  <c r="G2142"/>
  <c r="J2135"/>
  <c r="G2135"/>
  <c r="J2129"/>
  <c r="G2129"/>
  <c r="J2122"/>
  <c r="G2122"/>
  <c r="J2113"/>
  <c r="G2113"/>
  <c r="J2098"/>
  <c r="J2097"/>
  <c r="G2097"/>
  <c r="J2096"/>
  <c r="G2096"/>
  <c r="J2095"/>
  <c r="J2094"/>
  <c r="G2094"/>
  <c r="J2092"/>
  <c r="J2091"/>
  <c r="G2091"/>
  <c r="J2087"/>
  <c r="G2087"/>
  <c r="J2079"/>
  <c r="G2079"/>
  <c r="J2071"/>
  <c r="G2071"/>
  <c r="J2069"/>
  <c r="G2069"/>
  <c r="J2059"/>
  <c r="G2059"/>
  <c r="J2053"/>
  <c r="G2053"/>
  <c r="J2051"/>
  <c r="G2051"/>
  <c r="J2050"/>
  <c r="G2050"/>
  <c r="J2022"/>
  <c r="G2022"/>
  <c r="J2016"/>
  <c r="G2016"/>
  <c r="J2008"/>
  <c r="G2008"/>
  <c r="J2006"/>
  <c r="G2006"/>
  <c r="J1994"/>
  <c r="G1994"/>
  <c r="J1992"/>
  <c r="G1992"/>
  <c r="J1991"/>
  <c r="G1991"/>
  <c r="J1990"/>
  <c r="G1990"/>
  <c r="J1988"/>
  <c r="G1988"/>
  <c r="J1985"/>
  <c r="G1985"/>
  <c r="J1983"/>
  <c r="G1983"/>
  <c r="J1979"/>
  <c r="G1979"/>
  <c r="J1978"/>
  <c r="G1978"/>
  <c r="J1971"/>
  <c r="G1971"/>
  <c r="J1968"/>
  <c r="G1968"/>
  <c r="J1967"/>
  <c r="J1966"/>
  <c r="G1966"/>
  <c r="J1965"/>
  <c r="G1965"/>
  <c r="J1964"/>
  <c r="G1964"/>
  <c r="J1963"/>
  <c r="G1963"/>
  <c r="J1962"/>
  <c r="G1962"/>
  <c r="J1961"/>
  <c r="G1961"/>
  <c r="J1960"/>
  <c r="G1960"/>
  <c r="J1953"/>
  <c r="G1953"/>
  <c r="J1942"/>
  <c r="J1934"/>
  <c r="G1934"/>
  <c r="J1931"/>
  <c r="G1931"/>
  <c r="J1930"/>
  <c r="G1930"/>
  <c r="J1927"/>
  <c r="G1927"/>
  <c r="J1921"/>
  <c r="G1921"/>
  <c r="J1897"/>
  <c r="G1897"/>
  <c r="J1889"/>
  <c r="G1889"/>
  <c r="J1859"/>
  <c r="G1859"/>
  <c r="J1857"/>
  <c r="G1857"/>
  <c r="J1851"/>
  <c r="G1851"/>
  <c r="J1848"/>
  <c r="G1848"/>
  <c r="J1847"/>
  <c r="G1847"/>
  <c r="J1843"/>
  <c r="G1843"/>
  <c r="J1839"/>
  <c r="G1839"/>
  <c r="J1838"/>
  <c r="G1838"/>
  <c r="J1837"/>
  <c r="G1837"/>
  <c r="J1824"/>
  <c r="G1824"/>
  <c r="J1823"/>
  <c r="G1823"/>
  <c r="J1820"/>
  <c r="G1820"/>
  <c r="J1794"/>
  <c r="G1794"/>
  <c r="J1788"/>
  <c r="G1788"/>
  <c r="J1785"/>
  <c r="G1785"/>
  <c r="J1783"/>
  <c r="G1783"/>
  <c r="J1780"/>
  <c r="G1780"/>
  <c r="J1775"/>
  <c r="G1775"/>
  <c r="J1774"/>
  <c r="G1774"/>
  <c r="J1773"/>
  <c r="J1772"/>
  <c r="J1771"/>
  <c r="G1771"/>
  <c r="J1758"/>
  <c r="G1758"/>
  <c r="J1756"/>
  <c r="G1756"/>
  <c r="J1747"/>
  <c r="G1747"/>
  <c r="J1719"/>
  <c r="G1719"/>
  <c r="J1718"/>
  <c r="G1718"/>
  <c r="J1716"/>
  <c r="G1716"/>
  <c r="J1715"/>
  <c r="G1715"/>
  <c r="J1708"/>
  <c r="G1708"/>
  <c r="J1704"/>
  <c r="G1704"/>
  <c r="J1701"/>
  <c r="G1701"/>
  <c r="J1694"/>
  <c r="G1694"/>
  <c r="J1692"/>
  <c r="G1692"/>
  <c r="J1688"/>
  <c r="G1688"/>
  <c r="J1673"/>
  <c r="G1673"/>
  <c r="J1671"/>
  <c r="G1671"/>
  <c r="J1667"/>
  <c r="G1667"/>
  <c r="J1666"/>
  <c r="G1666"/>
  <c r="J1664"/>
  <c r="G1664"/>
  <c r="J1663"/>
  <c r="G1663"/>
  <c r="J1660"/>
  <c r="G1660"/>
  <c r="J1656"/>
  <c r="G1656"/>
  <c r="J1654"/>
  <c r="G1654"/>
  <c r="J1651"/>
  <c r="G1651"/>
  <c r="J1612"/>
  <c r="G1612"/>
  <c r="J1609"/>
  <c r="G1609"/>
  <c r="J1598"/>
  <c r="G1598"/>
  <c r="J1597"/>
  <c r="G1597"/>
  <c r="J1592"/>
  <c r="G1592"/>
  <c r="J1567"/>
  <c r="G1567"/>
  <c r="J1566"/>
  <c r="G1566"/>
  <c r="J1559"/>
  <c r="G1559"/>
  <c r="J1555"/>
  <c r="G1555"/>
  <c r="J1551"/>
  <c r="G1551"/>
  <c r="J1547"/>
  <c r="G1547"/>
  <c r="J1529"/>
  <c r="G1529"/>
  <c r="J1528"/>
  <c r="G1528"/>
  <c r="J1518"/>
  <c r="G1518"/>
  <c r="J1511"/>
  <c r="G1511"/>
  <c r="J1508"/>
  <c r="G1508"/>
  <c r="J1505"/>
  <c r="G1505"/>
  <c r="J1502"/>
  <c r="G1502"/>
  <c r="J1499"/>
  <c r="G1499"/>
  <c r="J1490"/>
  <c r="G1490"/>
  <c r="J1463"/>
  <c r="G1463"/>
  <c r="J1454"/>
  <c r="G1454"/>
  <c r="J1421"/>
  <c r="G1421"/>
  <c r="J1404"/>
  <c r="G1404"/>
  <c r="J1387"/>
  <c r="G1387"/>
  <c r="J1265"/>
  <c r="G1265"/>
  <c r="J1242"/>
  <c r="G1242"/>
  <c r="J1235"/>
  <c r="G1235"/>
  <c r="J1167"/>
  <c r="G1167"/>
  <c r="J1166"/>
  <c r="G1166"/>
  <c r="J1125"/>
  <c r="G1125"/>
  <c r="J1117"/>
  <c r="G1117"/>
  <c r="J1112"/>
  <c r="J1100"/>
  <c r="G1100"/>
  <c r="J1095"/>
  <c r="G1095"/>
  <c r="J1084"/>
  <c r="G1084"/>
  <c r="J1072"/>
  <c r="G1072"/>
  <c r="J1071"/>
  <c r="G1071"/>
  <c r="J1041"/>
  <c r="G1041"/>
  <c r="J1039"/>
  <c r="G1039"/>
  <c r="J989"/>
  <c r="J969"/>
  <c r="G969"/>
  <c r="J959"/>
  <c r="G959"/>
  <c r="J944"/>
  <c r="G944"/>
  <c r="J941"/>
  <c r="G941"/>
  <c r="J934"/>
  <c r="G934"/>
  <c r="J906"/>
  <c r="G906"/>
  <c r="J869"/>
  <c r="G869"/>
  <c r="J845"/>
  <c r="G845"/>
  <c r="J813"/>
  <c r="J763"/>
  <c r="G763"/>
  <c r="J757"/>
  <c r="G757"/>
  <c r="J715"/>
  <c r="G715"/>
  <c r="J712"/>
  <c r="G712"/>
  <c r="J666"/>
  <c r="G666"/>
  <c r="J627"/>
  <c r="G627"/>
  <c r="J573"/>
  <c r="G573"/>
  <c r="J445"/>
  <c r="G445"/>
  <c r="J444"/>
  <c r="G444"/>
  <c r="J427"/>
  <c r="G427"/>
  <c r="J410"/>
  <c r="J407"/>
  <c r="G407"/>
  <c r="J355"/>
  <c r="G355"/>
  <c r="J352"/>
  <c r="G352"/>
  <c r="J349"/>
  <c r="G349"/>
  <c r="J342"/>
  <c r="G342"/>
  <c r="J336"/>
  <c r="G336"/>
  <c r="J335"/>
  <c r="G335"/>
  <c r="J322"/>
  <c r="G322"/>
  <c r="J315"/>
  <c r="G315"/>
  <c r="J313"/>
  <c r="G313"/>
  <c r="J304"/>
  <c r="G304"/>
  <c r="J302"/>
  <c r="G302"/>
  <c r="J301"/>
  <c r="G301"/>
  <c r="J297"/>
  <c r="G297"/>
  <c r="J287"/>
  <c r="G287"/>
  <c r="J284"/>
  <c r="G284"/>
  <c r="J283"/>
  <c r="G283"/>
  <c r="J207"/>
  <c r="G207"/>
  <c r="J168"/>
  <c r="J165"/>
  <c r="G165"/>
  <c r="J137"/>
  <c r="G137"/>
  <c r="J136"/>
  <c r="G136"/>
  <c r="J134"/>
  <c r="G134"/>
  <c r="J133"/>
  <c r="G133"/>
  <c r="J103"/>
  <c r="G103"/>
  <c r="J85"/>
  <c r="G85"/>
  <c r="J44"/>
  <c r="G44"/>
  <c r="J2837"/>
  <c r="G2837"/>
  <c r="J2821"/>
  <c r="G2821"/>
  <c r="J2709"/>
  <c r="G2709"/>
  <c r="J2694"/>
  <c r="G2694"/>
  <c r="J2664"/>
  <c r="G2664"/>
  <c r="J2392"/>
  <c r="G2392"/>
  <c r="J2217"/>
  <c r="G2217"/>
  <c r="J2180"/>
  <c r="G2180"/>
  <c r="J2137"/>
  <c r="G2137"/>
  <c r="J2103"/>
  <c r="G2103"/>
  <c r="J2000"/>
  <c r="G2000"/>
  <c r="J1928"/>
  <c r="G1928"/>
  <c r="J1842"/>
  <c r="G1842"/>
  <c r="J1841"/>
  <c r="G1841"/>
  <c r="J1803"/>
  <c r="G1803"/>
  <c r="J1732"/>
  <c r="G1732"/>
  <c r="J1728"/>
  <c r="G1728"/>
  <c r="J1726"/>
  <c r="G1726"/>
  <c r="J1722"/>
  <c r="G1722"/>
  <c r="J1706"/>
  <c r="G1706"/>
  <c r="J1693"/>
  <c r="G1693"/>
  <c r="J1687"/>
  <c r="G1687"/>
  <c r="J1672"/>
  <c r="G1672"/>
  <c r="J1668"/>
  <c r="G1668"/>
  <c r="J1605"/>
  <c r="G1605"/>
  <c r="J1599"/>
  <c r="G1599"/>
  <c r="J1579"/>
  <c r="G1579"/>
  <c r="J1568"/>
  <c r="G1568"/>
  <c r="J1563"/>
  <c r="G1563"/>
  <c r="J1542"/>
  <c r="G1542"/>
  <c r="J1535"/>
  <c r="G1535"/>
  <c r="J1516"/>
  <c r="G1516"/>
  <c r="J1477"/>
  <c r="G1477"/>
  <c r="J1441"/>
  <c r="G1441"/>
  <c r="J1376"/>
  <c r="G1376"/>
  <c r="J1321"/>
  <c r="G1321"/>
  <c r="J1283"/>
  <c r="G1283"/>
  <c r="J1161"/>
  <c r="G1161"/>
  <c r="J1143"/>
  <c r="G1143"/>
  <c r="J1121"/>
  <c r="G1121"/>
  <c r="J1120"/>
  <c r="G1120"/>
  <c r="J1090"/>
  <c r="G1090"/>
  <c r="J1079"/>
  <c r="G1079"/>
  <c r="J1076"/>
  <c r="G1076"/>
  <c r="J1050"/>
  <c r="G1050"/>
  <c r="J1017"/>
  <c r="G1017"/>
  <c r="J1011"/>
  <c r="G1011"/>
  <c r="J978"/>
  <c r="G978"/>
  <c r="J945"/>
  <c r="G945"/>
  <c r="J865"/>
  <c r="G865"/>
  <c r="J817"/>
  <c r="G817"/>
  <c r="J806"/>
  <c r="G806"/>
  <c r="J777"/>
  <c r="G777"/>
  <c r="J711"/>
  <c r="G711"/>
  <c r="J689"/>
  <c r="G689"/>
  <c r="J495"/>
  <c r="G495"/>
  <c r="J494"/>
  <c r="G494"/>
  <c r="J483"/>
  <c r="G483"/>
  <c r="J476"/>
  <c r="G476"/>
  <c r="J475"/>
  <c r="G475"/>
  <c r="J421"/>
  <c r="G421"/>
  <c r="J416"/>
  <c r="G416"/>
  <c r="J406"/>
  <c r="G406"/>
  <c r="J405"/>
  <c r="G405"/>
  <c r="J261"/>
  <c r="G261"/>
  <c r="J240"/>
  <c r="G240"/>
  <c r="J217"/>
  <c r="G217"/>
  <c r="J112"/>
  <c r="G112"/>
  <c r="J109"/>
  <c r="G109"/>
  <c r="J97"/>
  <c r="G97"/>
  <c r="J58"/>
  <c r="G58"/>
  <c r="J46"/>
  <c r="G46"/>
  <c r="J45"/>
  <c r="G45"/>
  <c r="J2204"/>
  <c r="G2204"/>
  <c r="J1450"/>
  <c r="G1450"/>
  <c r="J849"/>
  <c r="G849"/>
  <c r="J775"/>
  <c r="G775"/>
  <c r="J742"/>
  <c r="G742"/>
  <c r="J638"/>
  <c r="G638"/>
  <c r="J612"/>
  <c r="G612"/>
  <c r="J594"/>
  <c r="G594"/>
  <c r="J501"/>
  <c r="G501"/>
  <c r="J280"/>
  <c r="G280"/>
  <c r="J226"/>
  <c r="G226"/>
  <c r="J2980"/>
  <c r="G2980"/>
  <c r="J2974"/>
  <c r="G2974"/>
  <c r="J2958"/>
  <c r="G2958"/>
  <c r="J2956"/>
  <c r="G2956"/>
  <c r="J2955"/>
  <c r="G2955"/>
  <c r="J2946"/>
  <c r="G2946"/>
  <c r="J2942"/>
  <c r="G2942"/>
  <c r="J2940"/>
  <c r="G2940"/>
  <c r="J2933"/>
  <c r="G2933"/>
  <c r="J2915"/>
  <c r="G2915"/>
  <c r="J2904"/>
  <c r="G2904"/>
  <c r="J2903"/>
  <c r="G2903"/>
  <c r="J2891"/>
  <c r="G2891"/>
  <c r="J2890"/>
  <c r="G2890"/>
  <c r="J2888"/>
  <c r="G2888"/>
  <c r="J2887"/>
  <c r="G2887"/>
  <c r="J2886"/>
  <c r="G2886"/>
  <c r="J2885"/>
  <c r="G2885"/>
  <c r="J2884"/>
  <c r="G2884"/>
  <c r="J2883"/>
  <c r="G2883"/>
  <c r="J2882"/>
  <c r="G2882"/>
  <c r="J2881"/>
  <c r="G2881"/>
  <c r="J2880"/>
  <c r="G2880"/>
  <c r="J2869"/>
  <c r="G2869"/>
  <c r="J2864"/>
  <c r="G2864"/>
  <c r="J2863"/>
  <c r="G2863"/>
  <c r="J2862"/>
  <c r="G2862"/>
  <c r="J2833"/>
  <c r="G2833"/>
  <c r="J2832"/>
  <c r="G2832"/>
  <c r="J2827"/>
  <c r="G2827"/>
  <c r="J2826"/>
  <c r="G2826"/>
  <c r="J2825"/>
  <c r="G2825"/>
  <c r="J2810"/>
  <c r="G2810"/>
  <c r="J2756"/>
  <c r="G2756"/>
  <c r="J2754"/>
  <c r="G2754"/>
  <c r="J2749"/>
  <c r="G2749"/>
  <c r="J2748"/>
  <c r="G2748"/>
  <c r="J2746"/>
  <c r="G2746"/>
  <c r="J2683"/>
  <c r="G2683"/>
  <c r="J2638"/>
  <c r="G2638"/>
  <c r="J2636"/>
  <c r="G2636"/>
  <c r="J2627"/>
  <c r="G2627"/>
  <c r="J2624"/>
  <c r="G2624"/>
  <c r="J2621"/>
  <c r="G2621"/>
  <c r="J2620"/>
  <c r="G2620"/>
  <c r="J2617"/>
  <c r="G2617"/>
  <c r="J2613"/>
  <c r="G2613"/>
  <c r="J2612"/>
  <c r="G2612"/>
  <c r="J2597"/>
  <c r="G2597"/>
  <c r="J2568"/>
  <c r="G2568"/>
  <c r="J2561"/>
  <c r="G2561"/>
  <c r="J2557"/>
  <c r="G2557"/>
  <c r="J2541"/>
  <c r="G2541"/>
  <c r="J2523"/>
  <c r="G2523"/>
  <c r="J2522"/>
  <c r="G2522"/>
  <c r="J2520"/>
  <c r="G2520"/>
  <c r="J2519"/>
  <c r="G2519"/>
  <c r="J2499"/>
  <c r="G2499"/>
  <c r="J2497"/>
  <c r="G2497"/>
  <c r="J2485"/>
  <c r="G2485"/>
  <c r="J2463"/>
  <c r="G2463"/>
  <c r="J2452"/>
  <c r="G2452"/>
  <c r="J2451"/>
  <c r="G2451"/>
  <c r="J2443"/>
  <c r="G2443"/>
  <c r="J2425"/>
  <c r="G2425"/>
  <c r="J2424"/>
  <c r="G2424"/>
  <c r="J2420"/>
  <c r="G2420"/>
  <c r="J2419"/>
  <c r="G2419"/>
  <c r="J2417"/>
  <c r="G2417"/>
  <c r="J2399"/>
  <c r="G2399"/>
  <c r="J2395"/>
  <c r="G2395"/>
  <c r="J2381"/>
  <c r="G2381"/>
  <c r="J2375"/>
  <c r="G2375"/>
  <c r="J2352"/>
  <c r="G2352"/>
  <c r="J2346"/>
  <c r="G2346"/>
  <c r="J2345"/>
  <c r="G2345"/>
  <c r="J2344"/>
  <c r="G2344"/>
  <c r="J2343"/>
  <c r="G2343"/>
  <c r="J2342"/>
  <c r="G2342"/>
  <c r="J2341"/>
  <c r="G2341"/>
  <c r="J2303"/>
  <c r="G2303"/>
  <c r="J2292"/>
  <c r="G2292"/>
  <c r="J2283"/>
  <c r="G2283"/>
  <c r="J2262"/>
  <c r="G2262"/>
  <c r="J2260"/>
  <c r="G2260"/>
  <c r="J2258"/>
  <c r="G2258"/>
  <c r="J2256"/>
  <c r="G2256"/>
  <c r="J2244"/>
  <c r="G2244"/>
  <c r="J2243"/>
  <c r="G2243"/>
  <c r="J2236"/>
  <c r="G2236"/>
  <c r="J2228"/>
  <c r="G2228"/>
  <c r="J2221"/>
  <c r="G2221"/>
  <c r="J2220"/>
  <c r="G2220"/>
  <c r="J2203"/>
  <c r="G2203"/>
  <c r="J2193"/>
  <c r="G2193"/>
  <c r="J2182"/>
  <c r="G2182"/>
  <c r="J2149"/>
  <c r="G2149"/>
  <c r="J2148"/>
  <c r="G2148"/>
  <c r="J2093"/>
  <c r="G2093"/>
  <c r="J2057"/>
  <c r="G2057"/>
  <c r="J2027"/>
  <c r="G2027"/>
  <c r="J1997"/>
  <c r="G1997"/>
  <c r="J1987"/>
  <c r="G1987"/>
  <c r="J1936"/>
  <c r="G1936"/>
  <c r="J1855"/>
  <c r="G1855"/>
  <c r="J1852"/>
  <c r="G1852"/>
  <c r="J1845"/>
  <c r="G1845"/>
  <c r="J1821"/>
  <c r="G1821"/>
  <c r="J1817"/>
  <c r="G1817"/>
  <c r="J1795"/>
  <c r="G1795"/>
  <c r="J1769"/>
  <c r="G1769"/>
  <c r="J1767"/>
  <c r="G1767"/>
  <c r="J1743"/>
  <c r="G1743"/>
  <c r="J1737"/>
  <c r="G1737"/>
  <c r="J1696"/>
  <c r="G1696"/>
  <c r="J1655"/>
  <c r="G1655"/>
  <c r="J1552"/>
  <c r="G1552"/>
  <c r="J1530"/>
  <c r="G1530"/>
  <c r="J1507"/>
  <c r="G1507"/>
  <c r="J1399"/>
  <c r="G1399"/>
  <c r="J1285"/>
  <c r="G1285"/>
  <c r="J1269"/>
  <c r="G1269"/>
  <c r="J1258"/>
  <c r="G1258"/>
  <c r="J1249"/>
  <c r="G1249"/>
  <c r="J1212"/>
  <c r="G1212"/>
  <c r="J1165"/>
  <c r="G1165"/>
  <c r="J1153"/>
  <c r="G1153"/>
  <c r="J1097"/>
  <c r="G1097"/>
  <c r="J1075"/>
  <c r="G1075"/>
  <c r="J1057"/>
  <c r="G1057"/>
  <c r="J964"/>
  <c r="G964"/>
  <c r="J916"/>
  <c r="G916"/>
  <c r="J848"/>
  <c r="G848"/>
  <c r="J819"/>
  <c r="G819"/>
  <c r="J769"/>
  <c r="G769"/>
  <c r="J675"/>
  <c r="G675"/>
  <c r="J637"/>
  <c r="G637"/>
  <c r="J629"/>
  <c r="G629"/>
  <c r="J614"/>
  <c r="J595"/>
  <c r="G595"/>
  <c r="J593"/>
  <c r="G593"/>
  <c r="J592"/>
  <c r="G592"/>
  <c r="J578"/>
  <c r="G578"/>
  <c r="J577"/>
  <c r="G577"/>
  <c r="J547"/>
  <c r="G547"/>
  <c r="J541"/>
  <c r="G541"/>
  <c r="J514"/>
  <c r="G514"/>
  <c r="J471"/>
  <c r="G471"/>
  <c r="J392"/>
  <c r="G392"/>
  <c r="J386"/>
  <c r="G386"/>
  <c r="J384"/>
  <c r="G384"/>
  <c r="J374"/>
  <c r="G374"/>
  <c r="J344"/>
  <c r="G344"/>
  <c r="J247"/>
  <c r="G247"/>
  <c r="J246"/>
  <c r="G246"/>
  <c r="J225"/>
  <c r="G225"/>
  <c r="J61"/>
  <c r="G61"/>
  <c r="J2897"/>
  <c r="G2897"/>
  <c r="J2652"/>
  <c r="G2652"/>
  <c r="J2530"/>
  <c r="G2530"/>
  <c r="J2412"/>
  <c r="G2412"/>
  <c r="J1021"/>
  <c r="G1021"/>
  <c r="J91"/>
  <c r="G91"/>
  <c r="J90"/>
  <c r="G90"/>
  <c r="J2954"/>
  <c r="G2954"/>
  <c r="J2953"/>
  <c r="G2953"/>
  <c r="J2952"/>
  <c r="G2952"/>
  <c r="J2950"/>
  <c r="G2950"/>
  <c r="J2948"/>
  <c r="G2948"/>
  <c r="J2945"/>
  <c r="G2945"/>
  <c r="J2932"/>
  <c r="G2932"/>
  <c r="J2923"/>
  <c r="G2923"/>
  <c r="J2922"/>
  <c r="G2922"/>
  <c r="J2921"/>
  <c r="G2921"/>
  <c r="J2914"/>
  <c r="G2914"/>
  <c r="J2836"/>
  <c r="G2836"/>
  <c r="J2824"/>
  <c r="G2824"/>
  <c r="J2822"/>
  <c r="G2822"/>
  <c r="J2808"/>
  <c r="G2808"/>
  <c r="J2801"/>
  <c r="G2801"/>
  <c r="J2781"/>
  <c r="G2781"/>
  <c r="J2765"/>
  <c r="G2765"/>
  <c r="J2758"/>
  <c r="G2758"/>
  <c r="J2741"/>
  <c r="G2741"/>
  <c r="J2698"/>
  <c r="G2698"/>
  <c r="J2687"/>
  <c r="G2687"/>
  <c r="J2434"/>
  <c r="G2434"/>
  <c r="J2365"/>
  <c r="G2365"/>
  <c r="J2118"/>
  <c r="G2118"/>
  <c r="J2070"/>
  <c r="G2070"/>
  <c r="J2067"/>
  <c r="G2067"/>
  <c r="J1959"/>
  <c r="G1959"/>
  <c r="J1831"/>
  <c r="G1831"/>
  <c r="J1809"/>
  <c r="G1809"/>
  <c r="J1791"/>
  <c r="G1791"/>
  <c r="J1748"/>
  <c r="G1748"/>
  <c r="J1533"/>
  <c r="G1533"/>
  <c r="J1520"/>
  <c r="G1520"/>
  <c r="J1519"/>
  <c r="G1519"/>
  <c r="J1158"/>
  <c r="G1158"/>
  <c r="J942"/>
  <c r="G942"/>
  <c r="J936"/>
  <c r="G936"/>
  <c r="J2041"/>
  <c r="G2041"/>
  <c r="J1885"/>
  <c r="G1885"/>
  <c r="J1877"/>
  <c r="G1877"/>
  <c r="J1873"/>
  <c r="G1873"/>
  <c r="J1870"/>
  <c r="G1870"/>
  <c r="J1868"/>
  <c r="G1868"/>
  <c r="J1866"/>
  <c r="G1866"/>
  <c r="J1864"/>
  <c r="G1864"/>
  <c r="J1649"/>
  <c r="G1649"/>
  <c r="J1648"/>
  <c r="G1648"/>
  <c r="J1645"/>
  <c r="G1645"/>
  <c r="J1643"/>
  <c r="G1643"/>
  <c r="J1641"/>
  <c r="G1641"/>
  <c r="J1640"/>
  <c r="G1640"/>
  <c r="J1636"/>
  <c r="G1636"/>
  <c r="J1633"/>
  <c r="G1633"/>
  <c r="J1630"/>
  <c r="G1630"/>
  <c r="J1629"/>
  <c r="G1629"/>
  <c r="J1627"/>
  <c r="G1627"/>
  <c r="J1626"/>
  <c r="G1626"/>
  <c r="J1622"/>
  <c r="G1622"/>
  <c r="J1619"/>
  <c r="G1619"/>
  <c r="J1617"/>
  <c r="G1617"/>
  <c r="J1614"/>
  <c r="G1614"/>
  <c r="J967"/>
  <c r="G967"/>
  <c r="J958"/>
  <c r="G958"/>
  <c r="J953"/>
  <c r="G953"/>
  <c r="J943"/>
  <c r="G943"/>
  <c r="J940"/>
  <c r="G940"/>
  <c r="J938"/>
  <c r="G938"/>
  <c r="J930"/>
  <c r="G930"/>
  <c r="J923"/>
  <c r="G923"/>
  <c r="J920"/>
  <c r="G920"/>
  <c r="J917"/>
  <c r="G917"/>
  <c r="J907"/>
  <c r="G907"/>
  <c r="J894"/>
  <c r="G894"/>
  <c r="J888"/>
  <c r="G888"/>
  <c r="J887"/>
  <c r="G887"/>
  <c r="J877"/>
  <c r="G877"/>
  <c r="J876"/>
  <c r="G876"/>
  <c r="J866"/>
  <c r="G866"/>
  <c r="J851"/>
  <c r="G851"/>
  <c r="J839"/>
  <c r="G839"/>
  <c r="J833"/>
  <c r="G833"/>
  <c r="J828"/>
  <c r="G828"/>
  <c r="J822"/>
  <c r="G822"/>
  <c r="J818"/>
  <c r="G818"/>
  <c r="J816"/>
  <c r="G816"/>
  <c r="J814"/>
  <c r="G814"/>
  <c r="J804"/>
  <c r="G804"/>
  <c r="J803"/>
  <c r="G803"/>
  <c r="J802"/>
  <c r="G802"/>
  <c r="J797"/>
  <c r="G797"/>
  <c r="J792"/>
  <c r="G792"/>
  <c r="J791"/>
  <c r="G791"/>
  <c r="J781"/>
  <c r="G781"/>
  <c r="J771"/>
  <c r="G771"/>
  <c r="J762"/>
  <c r="G762"/>
  <c r="J760"/>
  <c r="G760"/>
  <c r="J759"/>
  <c r="G759"/>
  <c r="J753"/>
  <c r="G753"/>
  <c r="J750"/>
  <c r="G750"/>
  <c r="J745"/>
  <c r="G745"/>
  <c r="J735"/>
  <c r="G735"/>
  <c r="J728"/>
  <c r="G728"/>
  <c r="J727"/>
  <c r="G727"/>
  <c r="J726"/>
  <c r="G726"/>
  <c r="J719"/>
  <c r="G719"/>
  <c r="J714"/>
  <c r="G714"/>
  <c r="J708"/>
  <c r="G708"/>
  <c r="J697"/>
  <c r="G697"/>
  <c r="J695"/>
  <c r="G695"/>
  <c r="J690"/>
  <c r="G690"/>
  <c r="J682"/>
  <c r="G682"/>
  <c r="J677"/>
  <c r="G677"/>
  <c r="J676"/>
  <c r="G676"/>
  <c r="J674"/>
  <c r="G674"/>
  <c r="J673"/>
  <c r="G673"/>
  <c r="J664"/>
  <c r="G664"/>
  <c r="J657"/>
  <c r="G657"/>
  <c r="J654"/>
  <c r="G654"/>
  <c r="J652"/>
  <c r="G652"/>
  <c r="J651"/>
  <c r="G651"/>
  <c r="J649"/>
  <c r="G649"/>
  <c r="J648"/>
  <c r="G648"/>
  <c r="J644"/>
  <c r="G644"/>
  <c r="J639"/>
  <c r="G639"/>
  <c r="J634"/>
  <c r="G634"/>
  <c r="J631"/>
  <c r="G631"/>
  <c r="J626"/>
  <c r="G626"/>
  <c r="J621"/>
  <c r="G621"/>
  <c r="J2965"/>
  <c r="G2965"/>
  <c r="J2870"/>
  <c r="G2870"/>
  <c r="J2807"/>
  <c r="G2807"/>
  <c r="J2806"/>
  <c r="G2806"/>
  <c r="J2782"/>
  <c r="G2782"/>
  <c r="J2760"/>
  <c r="G2760"/>
  <c r="J2759"/>
  <c r="G2759"/>
  <c r="J2738"/>
  <c r="G2738"/>
  <c r="J2737"/>
  <c r="G2737"/>
  <c r="J2736"/>
  <c r="G2736"/>
  <c r="J2625"/>
  <c r="G2625"/>
  <c r="J2609"/>
  <c r="G2609"/>
  <c r="J2608"/>
  <c r="G2608"/>
  <c r="J2388"/>
  <c r="G2388"/>
  <c r="J2189"/>
  <c r="G2189"/>
  <c r="J2169"/>
  <c r="G2169"/>
  <c r="J2023"/>
  <c r="G2023"/>
  <c r="J2003"/>
  <c r="G2003"/>
  <c r="J1957"/>
  <c r="G1957"/>
  <c r="J1900"/>
  <c r="G1900"/>
  <c r="J1899"/>
  <c r="G1899"/>
  <c r="J1898"/>
  <c r="G1898"/>
  <c r="J1846"/>
  <c r="G1846"/>
  <c r="J1844"/>
  <c r="G1844"/>
  <c r="J1836"/>
  <c r="G1836"/>
  <c r="J1797"/>
  <c r="G1797"/>
  <c r="J1787"/>
  <c r="G1787"/>
  <c r="J1729"/>
  <c r="G1729"/>
  <c r="J1723"/>
  <c r="G1723"/>
  <c r="J1682"/>
  <c r="G1682"/>
  <c r="J1611"/>
  <c r="G1611"/>
  <c r="J1587"/>
  <c r="G1587"/>
  <c r="J1581"/>
  <c r="G1581"/>
  <c r="J1577"/>
  <c r="G1577"/>
  <c r="J1569"/>
  <c r="G1569"/>
  <c r="J1540"/>
  <c r="G1540"/>
  <c r="J1163"/>
  <c r="G1163"/>
  <c r="J1096"/>
  <c r="G1096"/>
  <c r="J1059"/>
  <c r="G1059"/>
  <c r="J1034"/>
  <c r="G1034"/>
  <c r="J1003"/>
  <c r="G1003"/>
  <c r="J1001"/>
  <c r="G1001"/>
  <c r="J880"/>
  <c r="G880"/>
  <c r="J756"/>
  <c r="G756"/>
  <c r="J665"/>
  <c r="G665"/>
  <c r="J624"/>
  <c r="G624"/>
  <c r="J422"/>
  <c r="G422"/>
  <c r="J415"/>
  <c r="G415"/>
  <c r="J343"/>
  <c r="G343"/>
  <c r="J331"/>
  <c r="G331"/>
  <c r="J323"/>
  <c r="G323"/>
  <c r="J311"/>
  <c r="G311"/>
  <c r="J108"/>
  <c r="G108"/>
  <c r="J107"/>
  <c r="G107"/>
  <c r="J105"/>
  <c r="G105"/>
  <c r="J101"/>
  <c r="G101"/>
  <c r="J93"/>
  <c r="G93"/>
  <c r="J92"/>
  <c r="G92"/>
  <c r="J89"/>
  <c r="G89"/>
  <c r="J51"/>
  <c r="G51"/>
  <c r="J49"/>
  <c r="G49"/>
  <c r="J47"/>
  <c r="G47"/>
  <c r="J3010"/>
  <c r="G3010"/>
  <c r="J3009"/>
  <c r="G3009"/>
  <c r="J2999"/>
  <c r="G2999"/>
  <c r="J2993"/>
  <c r="G2993"/>
  <c r="J2986"/>
  <c r="G2986"/>
  <c r="J2970"/>
  <c r="G2970"/>
  <c r="J2969"/>
  <c r="G2969"/>
  <c r="J2908"/>
  <c r="G2908"/>
  <c r="J2907"/>
  <c r="G2907"/>
  <c r="J2906"/>
  <c r="G2906"/>
  <c r="J2905"/>
  <c r="G2905"/>
  <c r="J2901"/>
  <c r="G2901"/>
  <c r="J2900"/>
  <c r="G2900"/>
  <c r="J2893"/>
  <c r="G2893"/>
  <c r="J2879"/>
  <c r="G2879"/>
  <c r="J2848"/>
  <c r="G2848"/>
  <c r="J2847"/>
  <c r="G2847"/>
  <c r="J2846"/>
  <c r="G2846"/>
  <c r="J2815"/>
  <c r="G2815"/>
  <c r="J2814"/>
  <c r="G2814"/>
  <c r="J2813"/>
  <c r="G2813"/>
  <c r="J2663"/>
  <c r="G2663"/>
  <c r="J2658"/>
  <c r="G2658"/>
  <c r="J2657"/>
  <c r="G2657"/>
  <c r="J2645"/>
  <c r="G2645"/>
  <c r="J2643"/>
  <c r="G2643"/>
  <c r="J2642"/>
  <c r="G2642"/>
  <c r="J2639"/>
  <c r="G2639"/>
  <c r="J2637"/>
  <c r="G2637"/>
  <c r="J2595"/>
  <c r="G2595"/>
  <c r="J2592"/>
  <c r="G2592"/>
  <c r="J2591"/>
  <c r="G2591"/>
  <c r="J2586"/>
  <c r="G2586"/>
  <c r="J2567"/>
  <c r="G2567"/>
  <c r="J2566"/>
  <c r="G2566"/>
  <c r="J2554"/>
  <c r="G2554"/>
  <c r="J2553"/>
  <c r="G2553"/>
  <c r="J2548"/>
  <c r="G2548"/>
  <c r="J2545"/>
  <c r="G2545"/>
  <c r="J2524"/>
  <c r="G2524"/>
  <c r="J2518"/>
  <c r="G2518"/>
  <c r="J2517"/>
  <c r="G2517"/>
  <c r="J2516"/>
  <c r="G2516"/>
  <c r="J2515"/>
  <c r="G2515"/>
  <c r="J2514"/>
  <c r="G2514"/>
  <c r="J2513"/>
  <c r="G2513"/>
  <c r="J2512"/>
  <c r="G2512"/>
  <c r="J2511"/>
  <c r="G2511"/>
  <c r="J2510"/>
  <c r="G2510"/>
  <c r="J2509"/>
  <c r="G2509"/>
  <c r="J2508"/>
  <c r="G2508"/>
  <c r="J2495"/>
  <c r="G2495"/>
  <c r="J2494"/>
  <c r="G2494"/>
  <c r="J2493"/>
  <c r="G2493"/>
  <c r="J2491"/>
  <c r="G2491"/>
  <c r="J2488"/>
  <c r="G2488"/>
  <c r="J2487"/>
  <c r="G2487"/>
  <c r="J2484"/>
  <c r="G2484"/>
  <c r="J2483"/>
  <c r="G2483"/>
  <c r="J2482"/>
  <c r="G2482"/>
  <c r="J2481"/>
  <c r="G2481"/>
  <c r="J2471"/>
  <c r="G2471"/>
  <c r="J2468"/>
  <c r="G2468"/>
  <c r="J2467"/>
  <c r="G2467"/>
  <c r="J2466"/>
  <c r="G2466"/>
  <c r="J2464"/>
  <c r="G2464"/>
  <c r="J2456"/>
  <c r="G2456"/>
  <c r="J2455"/>
  <c r="G2455"/>
  <c r="J2454"/>
  <c r="G2454"/>
  <c r="J2446"/>
  <c r="G2446"/>
  <c r="J2358"/>
  <c r="G2358"/>
  <c r="J2357"/>
  <c r="G2357"/>
  <c r="J2356"/>
  <c r="G2356"/>
  <c r="J2351"/>
  <c r="G2351"/>
  <c r="J2315"/>
  <c r="G2315"/>
  <c r="J2299"/>
  <c r="G2299"/>
  <c r="J2298"/>
  <c r="G2298"/>
  <c r="J2297"/>
  <c r="G2297"/>
  <c r="J2296"/>
  <c r="G2296"/>
  <c r="J2295"/>
  <c r="G2295"/>
  <c r="J2294"/>
  <c r="G2294"/>
  <c r="J2282"/>
  <c r="G2282"/>
  <c r="J2267"/>
  <c r="G2267"/>
  <c r="J2164"/>
  <c r="G2164"/>
  <c r="J2163"/>
  <c r="G2163"/>
  <c r="J2158"/>
  <c r="G2158"/>
  <c r="J2155"/>
  <c r="G2155"/>
  <c r="J2154"/>
  <c r="G2154"/>
  <c r="J2153"/>
  <c r="G2153"/>
  <c r="J2150"/>
  <c r="G2150"/>
  <c r="J2125"/>
  <c r="G2125"/>
  <c r="J2124"/>
  <c r="G2124"/>
  <c r="J2123"/>
  <c r="G2123"/>
  <c r="J2121"/>
  <c r="G2121"/>
  <c r="J2110"/>
  <c r="G2110"/>
  <c r="J2108"/>
  <c r="G2108"/>
  <c r="J2107"/>
  <c r="G2107"/>
  <c r="J2106"/>
  <c r="G2106"/>
  <c r="J2105"/>
  <c r="G2105"/>
  <c r="J2084"/>
  <c r="G2084"/>
  <c r="J2062"/>
  <c r="G2062"/>
  <c r="J2061"/>
  <c r="G2061"/>
  <c r="J2055"/>
  <c r="G2055"/>
  <c r="J2054"/>
  <c r="G2054"/>
  <c r="J2042"/>
  <c r="G2042"/>
  <c r="J2004"/>
  <c r="G2004"/>
  <c r="J1976"/>
  <c r="G1976"/>
  <c r="J1950"/>
  <c r="G1950"/>
  <c r="J1946"/>
  <c r="G1946"/>
  <c r="J1945"/>
  <c r="G1945"/>
  <c r="J1926"/>
  <c r="G1926"/>
  <c r="J1917"/>
  <c r="G1917"/>
  <c r="J1901"/>
  <c r="G1901"/>
  <c r="J1896"/>
  <c r="G1896"/>
  <c r="J1892"/>
  <c r="G1892"/>
  <c r="J1888"/>
  <c r="G1888"/>
  <c r="J1887"/>
  <c r="G1887"/>
  <c r="J1886"/>
  <c r="G1886"/>
  <c r="J1884"/>
  <c r="G1884"/>
  <c r="J1883"/>
  <c r="G1883"/>
  <c r="J1882"/>
  <c r="G1882"/>
  <c r="J1881"/>
  <c r="G1881"/>
  <c r="J1880"/>
  <c r="G1880"/>
  <c r="J1879"/>
  <c r="G1879"/>
  <c r="J1876"/>
  <c r="G1876"/>
  <c r="J1875"/>
  <c r="G1875"/>
  <c r="J1874"/>
  <c r="G1874"/>
  <c r="J1872"/>
  <c r="G1872"/>
  <c r="J1871"/>
  <c r="G1871"/>
  <c r="J1869"/>
  <c r="G1869"/>
  <c r="J1867"/>
  <c r="G1867"/>
  <c r="J1865"/>
  <c r="G1865"/>
  <c r="J1863"/>
  <c r="G1863"/>
  <c r="J1862"/>
  <c r="G1862"/>
  <c r="J1861"/>
  <c r="G1861"/>
  <c r="J1856"/>
  <c r="G1856"/>
  <c r="J1808"/>
  <c r="G1808"/>
  <c r="J1807"/>
  <c r="G1807"/>
  <c r="J1782"/>
  <c r="G1782"/>
  <c r="J1759"/>
  <c r="G1759"/>
  <c r="J1720"/>
  <c r="G1720"/>
  <c r="J1714"/>
  <c r="G1714"/>
  <c r="J1713"/>
  <c r="G1713"/>
  <c r="J1707"/>
  <c r="G1707"/>
  <c r="J1700"/>
  <c r="G1700"/>
  <c r="J1699"/>
  <c r="G1699"/>
  <c r="J1698"/>
  <c r="G1698"/>
  <c r="J1681"/>
  <c r="G1681"/>
  <c r="J1680"/>
  <c r="G1680"/>
  <c r="J1679"/>
  <c r="G1679"/>
  <c r="J1650"/>
  <c r="G1650"/>
  <c r="J1647"/>
  <c r="G1647"/>
  <c r="J1646"/>
  <c r="G1646"/>
  <c r="J1644"/>
  <c r="G1644"/>
  <c r="J1642"/>
  <c r="G1642"/>
  <c r="J1639"/>
  <c r="G1639"/>
  <c r="J1638"/>
  <c r="G1638"/>
  <c r="J1637"/>
  <c r="G1637"/>
  <c r="J1635"/>
  <c r="G1635"/>
  <c r="J1634"/>
  <c r="G1634"/>
  <c r="J1632"/>
  <c r="G1632"/>
  <c r="J1631"/>
  <c r="G1631"/>
  <c r="J1628"/>
  <c r="G1628"/>
  <c r="J1625"/>
  <c r="G1625"/>
  <c r="J1624"/>
  <c r="G1624"/>
  <c r="J1623"/>
  <c r="G1623"/>
  <c r="J1621"/>
  <c r="G1621"/>
  <c r="J1620"/>
  <c r="G1620"/>
  <c r="J1618"/>
  <c r="G1618"/>
  <c r="J1616"/>
  <c r="G1616"/>
  <c r="J1615"/>
  <c r="G1615"/>
  <c r="J1613"/>
  <c r="G1613"/>
  <c r="J1586"/>
  <c r="G1586"/>
  <c r="J1550"/>
  <c r="G1550"/>
  <c r="J1538"/>
  <c r="G1538"/>
  <c r="J1523"/>
  <c r="G1523"/>
  <c r="J1522"/>
  <c r="G1522"/>
  <c r="J1521"/>
  <c r="G1521"/>
  <c r="J1491"/>
  <c r="G1491"/>
  <c r="J1489"/>
  <c r="G1489"/>
  <c r="J1488"/>
  <c r="G1488"/>
  <c r="J1487"/>
  <c r="G1487"/>
  <c r="J1470"/>
  <c r="G1470"/>
  <c r="J1141"/>
  <c r="G1141"/>
  <c r="J1140"/>
  <c r="G1140"/>
  <c r="J1139"/>
  <c r="G1139"/>
  <c r="J1138"/>
  <c r="G1138"/>
  <c r="J1137"/>
  <c r="G1137"/>
  <c r="J1136"/>
  <c r="G1136"/>
  <c r="J1135"/>
  <c r="G1135"/>
  <c r="J1134"/>
  <c r="G1134"/>
  <c r="J1133"/>
  <c r="G1133"/>
  <c r="J1132"/>
  <c r="G1132"/>
  <c r="J1131"/>
  <c r="G1131"/>
  <c r="J1104"/>
  <c r="G1104"/>
  <c r="J1103"/>
  <c r="G1103"/>
  <c r="J1101"/>
  <c r="G1101"/>
  <c r="J971"/>
  <c r="G971"/>
  <c r="J914"/>
  <c r="G914"/>
  <c r="J905"/>
  <c r="G905"/>
  <c r="J882"/>
  <c r="G882"/>
  <c r="J881"/>
  <c r="G881"/>
  <c r="J872"/>
  <c r="G872"/>
  <c r="J789"/>
  <c r="G789"/>
  <c r="J783"/>
  <c r="G783"/>
  <c r="J765"/>
  <c r="G765"/>
  <c r="J717"/>
  <c r="G717"/>
  <c r="J705"/>
  <c r="G705"/>
  <c r="J669"/>
  <c r="G669"/>
  <c r="J656"/>
  <c r="G656"/>
  <c r="J640"/>
  <c r="G640"/>
  <c r="J451"/>
  <c r="G451"/>
  <c r="J426"/>
  <c r="G426"/>
  <c r="J425"/>
  <c r="G425"/>
  <c r="J403"/>
  <c r="G403"/>
  <c r="J402"/>
  <c r="G402"/>
  <c r="J397"/>
  <c r="G397"/>
  <c r="J390"/>
  <c r="G390"/>
  <c r="J383"/>
  <c r="G383"/>
  <c r="J373"/>
  <c r="G373"/>
  <c r="J366"/>
  <c r="G366"/>
  <c r="J358"/>
  <c r="G358"/>
  <c r="J299"/>
  <c r="G299"/>
  <c r="J292"/>
  <c r="G292"/>
  <c r="J272"/>
  <c r="G272"/>
  <c r="J270"/>
  <c r="G270"/>
  <c r="J269"/>
  <c r="G269"/>
  <c r="J268"/>
  <c r="G268"/>
  <c r="J208"/>
  <c r="G208"/>
  <c r="J193"/>
  <c r="G193"/>
  <c r="J192"/>
  <c r="G192"/>
  <c r="J191"/>
  <c r="G191"/>
  <c r="J190"/>
  <c r="G190"/>
  <c r="J189"/>
  <c r="G189"/>
  <c r="J180"/>
  <c r="G180"/>
  <c r="J146"/>
  <c r="G146"/>
  <c r="J141"/>
  <c r="G141"/>
  <c r="J53"/>
  <c r="G53"/>
  <c r="J2229"/>
  <c r="G2229"/>
  <c r="J2200"/>
  <c r="G2200"/>
  <c r="J2190"/>
  <c r="G2190"/>
  <c r="J2172"/>
  <c r="G2172"/>
  <c r="J2152"/>
  <c r="G2152"/>
  <c r="J2134"/>
  <c r="G2134"/>
  <c r="J2116"/>
  <c r="G2116"/>
  <c r="J2078"/>
  <c r="G2078"/>
  <c r="J2031"/>
  <c r="G2031"/>
  <c r="J1995"/>
  <c r="G1995"/>
  <c r="J1938"/>
  <c r="G1938"/>
  <c r="J1860"/>
  <c r="G1860"/>
  <c r="J1819"/>
  <c r="G1819"/>
  <c r="J1810"/>
  <c r="G1810"/>
  <c r="J1802"/>
  <c r="G1802"/>
  <c r="J1790"/>
  <c r="G1790"/>
  <c r="J1735"/>
  <c r="G1735"/>
  <c r="J1721"/>
  <c r="G1721"/>
  <c r="J1678"/>
  <c r="G1678"/>
  <c r="J1670"/>
  <c r="G1670"/>
  <c r="J1669"/>
  <c r="G1669"/>
  <c r="J1580"/>
  <c r="G1580"/>
  <c r="J1556"/>
  <c r="G1556"/>
  <c r="J1544"/>
  <c r="G1544"/>
  <c r="J1536"/>
  <c r="G1536"/>
  <c r="J1525"/>
  <c r="G1525"/>
  <c r="J1524"/>
  <c r="G1524"/>
  <c r="J1515"/>
  <c r="G1515"/>
  <c r="J1510"/>
  <c r="G1510"/>
  <c r="J1509"/>
  <c r="G1509"/>
  <c r="J2472"/>
  <c r="G2472"/>
  <c r="J1447"/>
  <c r="G1447"/>
  <c r="J1435"/>
  <c r="G1435"/>
  <c r="J1369"/>
  <c r="G1369"/>
  <c r="J1293"/>
  <c r="G1293"/>
  <c r="J1209"/>
  <c r="G1209"/>
  <c r="J636"/>
  <c r="G636"/>
  <c r="J619"/>
  <c r="G619"/>
  <c r="J600"/>
  <c r="G600"/>
  <c r="J473"/>
  <c r="G473"/>
  <c r="J306"/>
  <c r="G306"/>
  <c r="J81"/>
  <c r="G81"/>
  <c r="J2895"/>
  <c r="G2895"/>
  <c r="J2209"/>
  <c r="G2209"/>
  <c r="J1458"/>
  <c r="G1458"/>
  <c r="J1436"/>
  <c r="G1436"/>
  <c r="J1328"/>
  <c r="G1328"/>
  <c r="J1324"/>
  <c r="G1324"/>
  <c r="J743"/>
  <c r="G743"/>
  <c r="J319"/>
  <c r="G319"/>
  <c r="J132"/>
  <c r="G132"/>
  <c r="J3002"/>
  <c r="G3002"/>
  <c r="J3000"/>
  <c r="G3000"/>
  <c r="J2989"/>
  <c r="G2989"/>
  <c r="J2987"/>
  <c r="G2987"/>
  <c r="J2983"/>
  <c r="G2983"/>
  <c r="J2982"/>
  <c r="G2982"/>
  <c r="J2981"/>
  <c r="G2981"/>
  <c r="J2977"/>
  <c r="G2977"/>
  <c r="J2972"/>
  <c r="G2972"/>
  <c r="J2971"/>
  <c r="G2971"/>
  <c r="J2968"/>
  <c r="G2968"/>
  <c r="J2967"/>
  <c r="G2967"/>
  <c r="J2966"/>
  <c r="G2966"/>
  <c r="J2964"/>
  <c r="G2964"/>
  <c r="J2949"/>
  <c r="G2949"/>
  <c r="J2947"/>
  <c r="G2947"/>
  <c r="J2941"/>
  <c r="G2941"/>
  <c r="J2929"/>
  <c r="G2929"/>
  <c r="J2928"/>
  <c r="G2928"/>
  <c r="J2927"/>
  <c r="G2927"/>
  <c r="J2926"/>
  <c r="G2926"/>
  <c r="J2925"/>
  <c r="G2925"/>
  <c r="J2920"/>
  <c r="G2920"/>
  <c r="J2919"/>
  <c r="G2919"/>
  <c r="J2918"/>
  <c r="G2918"/>
  <c r="J2917"/>
  <c r="G2917"/>
  <c r="J2912"/>
  <c r="G2912"/>
  <c r="J2910"/>
  <c r="G2910"/>
  <c r="J2909"/>
  <c r="G2909"/>
  <c r="J2899"/>
  <c r="G2899"/>
  <c r="J2898"/>
  <c r="G2898"/>
  <c r="J2889"/>
  <c r="G2889"/>
  <c r="J2875"/>
  <c r="G2875"/>
  <c r="J2874"/>
  <c r="G2874"/>
  <c r="J2861"/>
  <c r="G2861"/>
  <c r="J2860"/>
  <c r="G2860"/>
  <c r="J2857"/>
  <c r="G2857"/>
  <c r="J2855"/>
  <c r="G2855"/>
  <c r="J2845"/>
  <c r="G2845"/>
  <c r="J2843"/>
  <c r="G2843"/>
  <c r="J2842"/>
  <c r="G2842"/>
  <c r="J2841"/>
  <c r="G2841"/>
  <c r="J2840"/>
  <c r="G2840"/>
  <c r="J2839"/>
  <c r="G2839"/>
  <c r="J2838"/>
  <c r="G2838"/>
  <c r="J2834"/>
  <c r="G2834"/>
  <c r="J2817"/>
  <c r="G2817"/>
  <c r="J2811"/>
  <c r="G2811"/>
  <c r="J2803"/>
  <c r="G2803"/>
  <c r="J2798"/>
  <c r="G2798"/>
  <c r="J2797"/>
  <c r="G2797"/>
  <c r="J2796"/>
  <c r="G2796"/>
  <c r="J2795"/>
  <c r="G2795"/>
  <c r="J2790"/>
  <c r="G2790"/>
  <c r="J2789"/>
  <c r="G2789"/>
  <c r="J2788"/>
  <c r="G2788"/>
  <c r="J2787"/>
  <c r="G2787"/>
  <c r="J2776"/>
  <c r="G2776"/>
  <c r="J2775"/>
  <c r="G2775"/>
  <c r="J2771"/>
  <c r="G2771"/>
  <c r="J2770"/>
  <c r="G2770"/>
  <c r="J2769"/>
  <c r="G2769"/>
  <c r="J2768"/>
  <c r="G2768"/>
  <c r="J2766"/>
  <c r="G2766"/>
  <c r="J2757"/>
  <c r="G2757"/>
  <c r="J2755"/>
  <c r="G2755"/>
  <c r="J2753"/>
  <c r="G2753"/>
  <c r="J2747"/>
  <c r="G2747"/>
  <c r="J2743"/>
  <c r="G2743"/>
  <c r="J2742"/>
  <c r="G2742"/>
  <c r="J2739"/>
  <c r="G2739"/>
  <c r="J2720"/>
  <c r="G2720"/>
  <c r="J2719"/>
  <c r="G2719"/>
  <c r="J2710"/>
  <c r="G2710"/>
  <c r="J2705"/>
  <c r="G2705"/>
  <c r="J2701"/>
  <c r="G2701"/>
  <c r="J2700"/>
  <c r="G2700"/>
  <c r="J2699"/>
  <c r="G2699"/>
  <c r="J2697"/>
  <c r="G2697"/>
  <c r="J2695"/>
  <c r="G2695"/>
  <c r="J2689"/>
  <c r="G2689"/>
  <c r="J2688"/>
  <c r="G2688"/>
  <c r="J2685"/>
  <c r="G2685"/>
  <c r="J2684"/>
  <c r="G2684"/>
  <c r="J2681"/>
  <c r="G2681"/>
  <c r="J2680"/>
  <c r="G2680"/>
  <c r="J2671"/>
  <c r="G2671"/>
  <c r="J2670"/>
  <c r="G2670"/>
  <c r="J2653"/>
  <c r="G2653"/>
  <c r="J2651"/>
  <c r="G2651"/>
  <c r="J2650"/>
  <c r="G2650"/>
  <c r="J2647"/>
  <c r="G2647"/>
  <c r="J2641"/>
  <c r="G2641"/>
  <c r="J2635"/>
  <c r="G2635"/>
  <c r="J2633"/>
  <c r="G2633"/>
  <c r="J2626"/>
  <c r="G2626"/>
  <c r="J2623"/>
  <c r="G2623"/>
  <c r="J2619"/>
  <c r="G2619"/>
  <c r="J2618"/>
  <c r="G2618"/>
  <c r="J2616"/>
  <c r="G2616"/>
  <c r="J2614"/>
  <c r="G2614"/>
  <c r="J2611"/>
  <c r="G2611"/>
  <c r="J2607"/>
  <c r="G2607"/>
  <c r="J2606"/>
  <c r="G2606"/>
  <c r="J2605"/>
  <c r="G2605"/>
  <c r="J2604"/>
  <c r="G2604"/>
  <c r="J2602"/>
  <c r="G2602"/>
  <c r="J2599"/>
  <c r="G2599"/>
  <c r="J2598"/>
  <c r="G2598"/>
  <c r="J2594"/>
  <c r="G2594"/>
  <c r="J2590"/>
  <c r="G2590"/>
  <c r="J2589"/>
  <c r="G2589"/>
  <c r="J2588"/>
  <c r="G2588"/>
  <c r="J2587"/>
  <c r="G2587"/>
  <c r="J2584"/>
  <c r="G2584"/>
  <c r="J2583"/>
  <c r="G2583"/>
  <c r="J2582"/>
  <c r="G2582"/>
  <c r="J2581"/>
  <c r="G2581"/>
  <c r="J2580"/>
  <c r="G2580"/>
  <c r="J2579"/>
  <c r="G2579"/>
  <c r="J2578"/>
  <c r="G2578"/>
  <c r="J2577"/>
  <c r="G2577"/>
  <c r="J2576"/>
  <c r="G2576"/>
  <c r="J2575"/>
  <c r="G2575"/>
  <c r="J2574"/>
  <c r="G2574"/>
  <c r="J2573"/>
  <c r="G2573"/>
  <c r="J2572"/>
  <c r="G2572"/>
  <c r="J2571"/>
  <c r="G2571"/>
  <c r="J2570"/>
  <c r="G2570"/>
  <c r="J2569"/>
  <c r="G2569"/>
  <c r="J2565"/>
  <c r="G2565"/>
  <c r="J2564"/>
  <c r="G2564"/>
  <c r="J2563"/>
  <c r="G2563"/>
  <c r="J2562"/>
  <c r="G2562"/>
  <c r="J2552"/>
  <c r="G2552"/>
  <c r="J2551"/>
  <c r="G2551"/>
  <c r="J2550"/>
  <c r="G2550"/>
  <c r="J2549"/>
  <c r="G2549"/>
  <c r="J2546"/>
  <c r="G2546"/>
  <c r="J2542"/>
  <c r="G2542"/>
  <c r="J2540"/>
  <c r="G2540"/>
  <c r="J2536"/>
  <c r="G2536"/>
  <c r="J2533"/>
  <c r="G2533"/>
  <c r="J2528"/>
  <c r="G2528"/>
  <c r="J2527"/>
  <c r="G2527"/>
  <c r="J2526"/>
  <c r="G2526"/>
  <c r="J2525"/>
  <c r="G2525"/>
  <c r="J2521"/>
  <c r="G2521"/>
  <c r="J2506"/>
  <c r="G2506"/>
  <c r="J2505"/>
  <c r="G2505"/>
  <c r="J2502"/>
  <c r="G2502"/>
  <c r="J2500"/>
  <c r="G2500"/>
  <c r="J2492"/>
  <c r="G2492"/>
  <c r="J2486"/>
  <c r="G2486"/>
  <c r="J2480"/>
  <c r="G2480"/>
  <c r="J2479"/>
  <c r="G2479"/>
  <c r="J2478"/>
  <c r="G2478"/>
  <c r="J2477"/>
  <c r="G2477"/>
  <c r="J2476"/>
  <c r="G2476"/>
  <c r="J2465"/>
  <c r="G2465"/>
  <c r="J2462"/>
  <c r="G2462"/>
  <c r="J2461"/>
  <c r="G2461"/>
  <c r="J2460"/>
  <c r="G2460"/>
  <c r="J2453"/>
  <c r="G2453"/>
  <c r="J2448"/>
  <c r="G2448"/>
  <c r="J2441"/>
  <c r="G2441"/>
  <c r="J2439"/>
  <c r="G2439"/>
  <c r="J2438"/>
  <c r="G2438"/>
  <c r="J2433"/>
  <c r="G2433"/>
  <c r="J2432"/>
  <c r="G2432"/>
  <c r="J2431"/>
  <c r="G2431"/>
  <c r="J2430"/>
  <c r="G2430"/>
  <c r="J2428"/>
  <c r="G2428"/>
  <c r="J2426"/>
  <c r="G2426"/>
  <c r="J2421"/>
  <c r="G2421"/>
  <c r="J2416"/>
  <c r="G2416"/>
  <c r="J2415"/>
  <c r="G2415"/>
  <c r="J2413"/>
  <c r="G2413"/>
  <c r="J2411"/>
  <c r="G2411"/>
  <c r="J2409"/>
  <c r="G2409"/>
  <c r="J2408"/>
  <c r="G2408"/>
  <c r="J2406"/>
  <c r="G2406"/>
  <c r="J2405"/>
  <c r="G2405"/>
  <c r="J2404"/>
  <c r="G2404"/>
  <c r="J2403"/>
  <c r="G2403"/>
  <c r="J2402"/>
  <c r="G2402"/>
  <c r="J2401"/>
  <c r="G2401"/>
  <c r="J2390"/>
  <c r="G2390"/>
  <c r="J2389"/>
  <c r="G2389"/>
  <c r="J2384"/>
  <c r="G2384"/>
  <c r="J2383"/>
  <c r="G2383"/>
  <c r="J2382"/>
  <c r="G2382"/>
  <c r="J2376"/>
  <c r="G2376"/>
  <c r="J2370"/>
  <c r="G2370"/>
  <c r="J2354"/>
  <c r="G2354"/>
  <c r="J2353"/>
  <c r="G2353"/>
  <c r="J2340"/>
  <c r="G2340"/>
  <c r="J2339"/>
  <c r="G2339"/>
  <c r="J2338"/>
  <c r="G2338"/>
  <c r="J2337"/>
  <c r="G2337"/>
  <c r="J2336"/>
  <c r="G2336"/>
  <c r="J2335"/>
  <c r="G2335"/>
  <c r="J2333"/>
  <c r="G2333"/>
  <c r="J2332"/>
  <c r="G2332"/>
  <c r="J2328"/>
  <c r="G2328"/>
  <c r="J2325"/>
  <c r="G2325"/>
  <c r="J2324"/>
  <c r="G2324"/>
  <c r="J2317"/>
  <c r="G2317"/>
  <c r="J2314"/>
  <c r="G2314"/>
  <c r="J2311"/>
  <c r="G2311"/>
  <c r="J2309"/>
  <c r="G2309"/>
  <c r="J2302"/>
  <c r="G2302"/>
  <c r="J2301"/>
  <c r="G2301"/>
  <c r="J2300"/>
  <c r="G2300"/>
  <c r="J2293"/>
  <c r="G2293"/>
  <c r="J2291"/>
  <c r="G2291"/>
  <c r="J2289"/>
  <c r="G2289"/>
  <c r="J2286"/>
  <c r="G2286"/>
  <c r="J2281"/>
  <c r="G2281"/>
  <c r="J2279"/>
  <c r="G2279"/>
  <c r="J2278"/>
  <c r="G2278"/>
  <c r="J2255"/>
  <c r="G2255"/>
  <c r="J2254"/>
  <c r="G2254"/>
  <c r="J2249"/>
  <c r="G2249"/>
  <c r="J2218"/>
  <c r="G2218"/>
  <c r="J2215"/>
  <c r="G2215"/>
  <c r="J2213"/>
  <c r="G2213"/>
  <c r="J2212"/>
  <c r="G2212"/>
  <c r="J2211"/>
  <c r="G2211"/>
  <c r="J2210"/>
  <c r="G2210"/>
  <c r="J2208"/>
  <c r="G2208"/>
  <c r="J2207"/>
  <c r="G2207"/>
  <c r="J2179"/>
  <c r="G2179"/>
  <c r="J2177"/>
  <c r="G2177"/>
  <c r="J2174"/>
  <c r="G2174"/>
  <c r="J2168"/>
  <c r="G2168"/>
  <c r="J2136"/>
  <c r="G2136"/>
  <c r="J2128"/>
  <c r="G2128"/>
  <c r="J2115"/>
  <c r="G2115"/>
  <c r="J2109"/>
  <c r="G2109"/>
  <c r="J2102"/>
  <c r="G2102"/>
  <c r="J2101"/>
  <c r="G2101"/>
  <c r="J2100"/>
  <c r="G2100"/>
  <c r="J2077"/>
  <c r="G2077"/>
  <c r="J2052"/>
  <c r="G2052"/>
  <c r="J1974"/>
  <c r="G1974"/>
  <c r="J1849"/>
  <c r="G1849"/>
  <c r="J1828"/>
  <c r="G1828"/>
  <c r="J1827"/>
  <c r="G1827"/>
  <c r="J1825"/>
  <c r="G1825"/>
  <c r="J1816"/>
  <c r="G1816"/>
  <c r="J1814"/>
  <c r="G1814"/>
  <c r="J1812"/>
  <c r="G1812"/>
  <c r="J1792"/>
  <c r="G1792"/>
  <c r="J1786"/>
  <c r="G1786"/>
  <c r="J1777"/>
  <c r="G1777"/>
  <c r="J1770"/>
  <c r="G1770"/>
  <c r="J1761"/>
  <c r="G1761"/>
  <c r="J1751"/>
  <c r="G1751"/>
  <c r="J1750"/>
  <c r="G1750"/>
  <c r="J1745"/>
  <c r="G1745"/>
  <c r="J1740"/>
  <c r="G1740"/>
  <c r="J1739"/>
  <c r="G1739"/>
  <c r="J1702"/>
  <c r="G1702"/>
  <c r="J1691"/>
  <c r="G1691"/>
  <c r="J1690"/>
  <c r="G1690"/>
  <c r="J1689"/>
  <c r="G1689"/>
  <c r="J1676"/>
  <c r="G1676"/>
  <c r="J1675"/>
  <c r="G1675"/>
  <c r="J1653"/>
  <c r="G1653"/>
  <c r="J1652"/>
  <c r="G1652"/>
  <c r="J1607"/>
  <c r="G1607"/>
  <c r="J1591"/>
  <c r="G1591"/>
  <c r="J1589"/>
  <c r="G1589"/>
  <c r="J1562"/>
  <c r="G1562"/>
  <c r="J1561"/>
  <c r="G1561"/>
  <c r="J1560"/>
  <c r="G1560"/>
  <c r="J1558"/>
  <c r="G1558"/>
  <c r="J1557"/>
  <c r="G1557"/>
  <c r="J1546"/>
  <c r="G1546"/>
  <c r="J1545"/>
  <c r="G1545"/>
  <c r="J1543"/>
  <c r="G1543"/>
  <c r="J1532"/>
  <c r="G1532"/>
  <c r="J1526"/>
  <c r="G1526"/>
  <c r="J1494"/>
  <c r="G1494"/>
  <c r="J1485"/>
  <c r="G1485"/>
  <c r="J1479"/>
  <c r="G1479"/>
  <c r="J1478"/>
  <c r="G1478"/>
  <c r="J1457"/>
  <c r="G1457"/>
  <c r="J1453"/>
  <c r="G1453"/>
  <c r="J1448"/>
  <c r="G1448"/>
  <c r="J1445"/>
  <c r="G1445"/>
  <c r="J1442"/>
  <c r="G1442"/>
  <c r="J1424"/>
  <c r="G1424"/>
  <c r="J1420"/>
  <c r="G1420"/>
  <c r="J1419"/>
  <c r="G1419"/>
  <c r="J1411"/>
  <c r="G1411"/>
  <c r="J1409"/>
  <c r="G1409"/>
  <c r="J1408"/>
  <c r="G1408"/>
  <c r="J1384"/>
  <c r="G1384"/>
  <c r="J1381"/>
  <c r="G1381"/>
  <c r="J1380"/>
  <c r="G1380"/>
  <c r="J1379"/>
  <c r="G1379"/>
  <c r="J1373"/>
  <c r="G1373"/>
  <c r="J1368"/>
  <c r="G1368"/>
  <c r="J1363"/>
  <c r="G1363"/>
  <c r="J1361"/>
  <c r="G1361"/>
  <c r="J1360"/>
  <c r="G1360"/>
  <c r="J1357"/>
  <c r="G1357"/>
  <c r="J1355"/>
  <c r="G1355"/>
  <c r="J1354"/>
  <c r="G1354"/>
  <c r="J1351"/>
  <c r="G1351"/>
  <c r="J1337"/>
  <c r="G1337"/>
  <c r="J1335"/>
  <c r="G1335"/>
  <c r="J1330"/>
  <c r="G1330"/>
  <c r="J1327"/>
  <c r="G1327"/>
  <c r="J1323"/>
  <c r="G1323"/>
  <c r="J1322"/>
  <c r="G1322"/>
  <c r="J1316"/>
  <c r="G1316"/>
  <c r="J1296"/>
  <c r="G1296"/>
  <c r="J1292"/>
  <c r="G1292"/>
  <c r="J1271"/>
  <c r="G1271"/>
  <c r="J1266"/>
  <c r="G1266"/>
  <c r="J1244"/>
  <c r="G1244"/>
  <c r="J1239"/>
  <c r="G1239"/>
  <c r="J1224"/>
  <c r="G1224"/>
  <c r="J1222"/>
  <c r="G1222"/>
  <c r="J1208"/>
  <c r="G1208"/>
  <c r="J1203"/>
  <c r="G1203"/>
  <c r="J1201"/>
  <c r="G1201"/>
  <c r="J1200"/>
  <c r="G1200"/>
  <c r="J1199"/>
  <c r="G1199"/>
  <c r="J1193"/>
  <c r="G1193"/>
  <c r="J1184"/>
  <c r="G1184"/>
  <c r="J1178"/>
  <c r="G1178"/>
  <c r="J1177"/>
  <c r="G1177"/>
  <c r="J1156"/>
  <c r="G1156"/>
  <c r="J1155"/>
  <c r="G1155"/>
  <c r="J1154"/>
  <c r="G1154"/>
  <c r="J1119"/>
  <c r="G1119"/>
  <c r="J1108"/>
  <c r="G1108"/>
  <c r="J1105"/>
  <c r="G1105"/>
  <c r="J1092"/>
  <c r="G1092"/>
  <c r="J1087"/>
  <c r="G1087"/>
  <c r="J1086"/>
  <c r="G1086"/>
  <c r="J1077"/>
  <c r="G1077"/>
  <c r="J1070"/>
  <c r="G1070"/>
  <c r="J1065"/>
  <c r="G1065"/>
  <c r="J1064"/>
  <c r="G1064"/>
  <c r="J1063"/>
  <c r="G1063"/>
  <c r="J1062"/>
  <c r="G1062"/>
  <c r="J1037"/>
  <c r="G1037"/>
  <c r="J1036"/>
  <c r="G1036"/>
  <c r="J1008"/>
  <c r="G1008"/>
  <c r="J1006"/>
  <c r="G1006"/>
  <c r="J986"/>
  <c r="G986"/>
  <c r="J984"/>
  <c r="G984"/>
  <c r="J982"/>
  <c r="G982"/>
  <c r="J981"/>
  <c r="G981"/>
  <c r="J979"/>
  <c r="G979"/>
  <c r="J966"/>
  <c r="G966"/>
  <c r="J962"/>
  <c r="G962"/>
  <c r="J946"/>
  <c r="G946"/>
  <c r="J937"/>
  <c r="G937"/>
  <c r="J935"/>
  <c r="G935"/>
  <c r="J932"/>
  <c r="G932"/>
  <c r="J929"/>
  <c r="G929"/>
  <c r="J925"/>
  <c r="G925"/>
  <c r="J924"/>
  <c r="G924"/>
  <c r="J908"/>
  <c r="G908"/>
  <c r="J885"/>
  <c r="G885"/>
  <c r="J873"/>
  <c r="G873"/>
  <c r="J868"/>
  <c r="G868"/>
  <c r="J864"/>
  <c r="G864"/>
  <c r="J856"/>
  <c r="G856"/>
  <c r="J836"/>
  <c r="G836"/>
  <c r="J835"/>
  <c r="G835"/>
  <c r="J831"/>
  <c r="G831"/>
  <c r="J823"/>
  <c r="G823"/>
  <c r="J821"/>
  <c r="G821"/>
  <c r="J815"/>
  <c r="G815"/>
  <c r="J812"/>
  <c r="G812"/>
  <c r="J809"/>
  <c r="G809"/>
  <c r="J808"/>
  <c r="G808"/>
  <c r="J805"/>
  <c r="G805"/>
  <c r="J800"/>
  <c r="G800"/>
  <c r="J798"/>
  <c r="G798"/>
  <c r="J796"/>
  <c r="G796"/>
  <c r="J788"/>
  <c r="G788"/>
  <c r="J785"/>
  <c r="G785"/>
  <c r="J784"/>
  <c r="G784"/>
  <c r="J779"/>
  <c r="G779"/>
  <c r="J770"/>
  <c r="G770"/>
  <c r="J752"/>
  <c r="G752"/>
  <c r="J751"/>
  <c r="G751"/>
  <c r="J749"/>
  <c r="G749"/>
  <c r="J748"/>
  <c r="G748"/>
  <c r="J747"/>
  <c r="G747"/>
  <c r="J746"/>
  <c r="G746"/>
  <c r="J744"/>
  <c r="G744"/>
  <c r="J740"/>
  <c r="G740"/>
  <c r="J739"/>
  <c r="G739"/>
  <c r="J738"/>
  <c r="G738"/>
  <c r="J737"/>
  <c r="G737"/>
  <c r="J736"/>
  <c r="G736"/>
  <c r="J731"/>
  <c r="G731"/>
  <c r="J723"/>
  <c r="G723"/>
  <c r="J722"/>
  <c r="G722"/>
  <c r="J713"/>
  <c r="G713"/>
  <c r="J710"/>
  <c r="G710"/>
  <c r="J709"/>
  <c r="G709"/>
  <c r="J706"/>
  <c r="G706"/>
  <c r="J702"/>
  <c r="G702"/>
  <c r="J696"/>
  <c r="G696"/>
  <c r="J685"/>
  <c r="G685"/>
  <c r="J679"/>
  <c r="G679"/>
  <c r="J672"/>
  <c r="G672"/>
  <c r="J671"/>
  <c r="G671"/>
  <c r="J660"/>
  <c r="G660"/>
  <c r="J655"/>
  <c r="G655"/>
  <c r="J650"/>
  <c r="G650"/>
  <c r="J647"/>
  <c r="G647"/>
  <c r="J646"/>
  <c r="G646"/>
  <c r="J630"/>
  <c r="G630"/>
  <c r="J622"/>
  <c r="G622"/>
  <c r="J620"/>
  <c r="G620"/>
  <c r="J618"/>
  <c r="G618"/>
  <c r="J616"/>
  <c r="G616"/>
  <c r="J584"/>
  <c r="G584"/>
  <c r="J580"/>
  <c r="G580"/>
  <c r="J579"/>
  <c r="G579"/>
  <c r="J564"/>
  <c r="G564"/>
  <c r="J562"/>
  <c r="G562"/>
  <c r="J551"/>
  <c r="G551"/>
  <c r="J548"/>
  <c r="G548"/>
  <c r="J544"/>
  <c r="G544"/>
  <c r="J540"/>
  <c r="G540"/>
  <c r="J532"/>
  <c r="G532"/>
  <c r="J529"/>
  <c r="G529"/>
  <c r="J527"/>
  <c r="G527"/>
  <c r="J520"/>
  <c r="G520"/>
  <c r="J517"/>
  <c r="G517"/>
  <c r="J515"/>
  <c r="G515"/>
  <c r="J513"/>
  <c r="G513"/>
  <c r="J511"/>
  <c r="G511"/>
  <c r="J504"/>
  <c r="G504"/>
  <c r="J502"/>
  <c r="G502"/>
  <c r="J500"/>
  <c r="G500"/>
  <c r="J480"/>
  <c r="G480"/>
  <c r="J467"/>
  <c r="G467"/>
  <c r="J461"/>
  <c r="G461"/>
  <c r="J460"/>
  <c r="G460"/>
  <c r="J457"/>
  <c r="G457"/>
  <c r="J456"/>
  <c r="G456"/>
  <c r="J448"/>
  <c r="G448"/>
  <c r="J431"/>
  <c r="G431"/>
  <c r="J429"/>
  <c r="G429"/>
  <c r="J409"/>
  <c r="G409"/>
  <c r="J395"/>
  <c r="G395"/>
  <c r="J393"/>
  <c r="G393"/>
  <c r="J378"/>
  <c r="G378"/>
  <c r="J376"/>
  <c r="G376"/>
  <c r="J372"/>
  <c r="G372"/>
  <c r="J368"/>
  <c r="G368"/>
  <c r="J365"/>
  <c r="G365"/>
  <c r="J363"/>
  <c r="G363"/>
  <c r="J357"/>
  <c r="G357"/>
  <c r="J356"/>
  <c r="G356"/>
  <c r="J345"/>
  <c r="G345"/>
  <c r="J341"/>
  <c r="G341"/>
  <c r="J318"/>
  <c r="G318"/>
  <c r="J316"/>
  <c r="G316"/>
  <c r="J314"/>
  <c r="G314"/>
  <c r="J312"/>
  <c r="G312"/>
  <c r="J289"/>
  <c r="G289"/>
  <c r="J288"/>
  <c r="G288"/>
  <c r="J286"/>
  <c r="G286"/>
  <c r="J277"/>
  <c r="G277"/>
  <c r="J274"/>
  <c r="G274"/>
  <c r="J273"/>
  <c r="G273"/>
  <c r="J266"/>
  <c r="G266"/>
  <c r="J260"/>
  <c r="G260"/>
  <c r="J257"/>
  <c r="G257"/>
  <c r="J239"/>
  <c r="G239"/>
  <c r="J231"/>
  <c r="G231"/>
  <c r="J230"/>
  <c r="G230"/>
  <c r="J183"/>
  <c r="G183"/>
  <c r="J156"/>
  <c r="G156"/>
  <c r="J152"/>
  <c r="G152"/>
  <c r="J150"/>
  <c r="G150"/>
  <c r="J149"/>
  <c r="G149"/>
  <c r="J145"/>
  <c r="G145"/>
  <c r="J130"/>
  <c r="G130"/>
  <c r="J126"/>
  <c r="G126"/>
  <c r="J122"/>
  <c r="G122"/>
  <c r="J120"/>
  <c r="G120"/>
  <c r="J116"/>
  <c r="G116"/>
  <c r="J102"/>
  <c r="G102"/>
  <c r="J100"/>
  <c r="G100"/>
  <c r="J94"/>
  <c r="G94"/>
  <c r="J86"/>
  <c r="G86"/>
  <c r="J80"/>
  <c r="G80"/>
  <c r="J77"/>
  <c r="G77"/>
  <c r="J68"/>
  <c r="G68"/>
  <c r="J65"/>
  <c r="G65"/>
  <c r="J59"/>
  <c r="G59"/>
  <c r="J3008"/>
  <c r="G3008"/>
  <c r="J3006"/>
  <c r="G3006"/>
  <c r="J2994"/>
  <c r="G2994"/>
  <c r="J2973"/>
  <c r="G2973"/>
  <c r="J2902"/>
  <c r="G2902"/>
  <c r="J2894"/>
  <c r="G2894"/>
  <c r="J2878"/>
  <c r="G2878"/>
  <c r="J2819"/>
  <c r="G2819"/>
  <c r="J2474"/>
  <c r="G2474"/>
  <c r="J2427"/>
  <c r="G2427"/>
  <c r="J2423"/>
  <c r="G2423"/>
  <c r="J2304"/>
  <c r="G2304"/>
  <c r="J2250"/>
  <c r="G2250"/>
  <c r="J2242"/>
  <c r="G2242"/>
  <c r="J1918"/>
  <c r="G1918"/>
  <c r="J1916"/>
  <c r="G1916"/>
  <c r="J1686"/>
  <c r="G1686"/>
  <c r="J1662"/>
  <c r="G1662"/>
  <c r="J1596"/>
  <c r="G1596"/>
  <c r="J1578"/>
  <c r="G1578"/>
  <c r="J1496"/>
  <c r="G1496"/>
  <c r="J1469"/>
  <c r="G1469"/>
  <c r="J1465"/>
  <c r="G1465"/>
  <c r="J1462"/>
  <c r="G1462"/>
  <c r="J1460"/>
  <c r="G1460"/>
  <c r="J1438"/>
  <c r="G1438"/>
  <c r="J1434"/>
  <c r="G1434"/>
  <c r="J1431"/>
  <c r="G1431"/>
  <c r="J1427"/>
  <c r="G1427"/>
  <c r="J1417"/>
  <c r="G1417"/>
  <c r="J1407"/>
  <c r="G1407"/>
  <c r="J1402"/>
  <c r="G1402"/>
  <c r="J1398"/>
  <c r="G1398"/>
  <c r="J1394"/>
  <c r="G1394"/>
  <c r="J1392"/>
  <c r="G1392"/>
  <c r="J1377"/>
  <c r="G1377"/>
  <c r="J1370"/>
  <c r="G1370"/>
  <c r="J1366"/>
  <c r="G1366"/>
  <c r="J1365"/>
  <c r="G1365"/>
  <c r="J1356"/>
  <c r="G1356"/>
  <c r="J1345"/>
  <c r="G1345"/>
  <c r="J1342"/>
  <c r="G1342"/>
  <c r="J1339"/>
  <c r="G1339"/>
  <c r="J1334"/>
  <c r="G1334"/>
  <c r="J1329"/>
  <c r="G1329"/>
  <c r="J1311"/>
  <c r="G1311"/>
  <c r="J1306"/>
  <c r="G1306"/>
  <c r="J1299"/>
  <c r="G1299"/>
  <c r="J1294"/>
  <c r="G1294"/>
  <c r="J1275"/>
  <c r="G1275"/>
  <c r="J1262"/>
  <c r="G1262"/>
  <c r="J1259"/>
  <c r="G1259"/>
  <c r="J1257"/>
  <c r="G1257"/>
  <c r="J1252"/>
  <c r="G1252"/>
  <c r="J1241"/>
  <c r="G1241"/>
  <c r="J1240"/>
  <c r="G1240"/>
  <c r="J1238"/>
  <c r="G1238"/>
  <c r="J1233"/>
  <c r="G1233"/>
  <c r="J1231"/>
  <c r="G1231"/>
  <c r="J1230"/>
  <c r="G1230"/>
  <c r="J1217"/>
  <c r="G1217"/>
  <c r="J1189"/>
  <c r="G1189"/>
  <c r="J1187"/>
  <c r="G1187"/>
  <c r="J1185"/>
  <c r="G1185"/>
  <c r="J1181"/>
  <c r="G1181"/>
  <c r="J1179"/>
  <c r="G1179"/>
  <c r="J1176"/>
  <c r="G1176"/>
  <c r="J1173"/>
  <c r="G1173"/>
  <c r="J1171"/>
  <c r="G1171"/>
  <c r="J1082"/>
  <c r="G1082"/>
  <c r="J1024"/>
  <c r="G1024"/>
  <c r="J927"/>
  <c r="G927"/>
  <c r="J910"/>
  <c r="G910"/>
  <c r="J878"/>
  <c r="G878"/>
  <c r="J867"/>
  <c r="G867"/>
  <c r="J859"/>
  <c r="G859"/>
  <c r="J854"/>
  <c r="G854"/>
  <c r="J847"/>
  <c r="G847"/>
  <c r="J842"/>
  <c r="G842"/>
  <c r="J793"/>
  <c r="G793"/>
  <c r="J787"/>
  <c r="G787"/>
  <c r="J774"/>
  <c r="G774"/>
  <c r="J755"/>
  <c r="G755"/>
  <c r="J734"/>
  <c r="G734"/>
  <c r="J724"/>
  <c r="G724"/>
  <c r="J718"/>
  <c r="G718"/>
  <c r="J662"/>
  <c r="G662"/>
  <c r="J611"/>
  <c r="G611"/>
  <c r="J607"/>
  <c r="G607"/>
  <c r="J605"/>
  <c r="G605"/>
  <c r="J601"/>
  <c r="G601"/>
  <c r="J589"/>
  <c r="G589"/>
  <c r="J587"/>
  <c r="G587"/>
  <c r="J583"/>
  <c r="G583"/>
  <c r="J571"/>
  <c r="G571"/>
  <c r="J569"/>
  <c r="G569"/>
  <c r="J566"/>
  <c r="G566"/>
  <c r="J560"/>
  <c r="G560"/>
  <c r="J557"/>
  <c r="G557"/>
  <c r="J554"/>
  <c r="G554"/>
  <c r="J550"/>
  <c r="G550"/>
  <c r="J545"/>
  <c r="G545"/>
  <c r="J533"/>
  <c r="G533"/>
  <c r="J516"/>
  <c r="G516"/>
  <c r="J479"/>
  <c r="G479"/>
  <c r="J465"/>
  <c r="G465"/>
  <c r="J463"/>
  <c r="G463"/>
  <c r="J446"/>
  <c r="G446"/>
  <c r="J419"/>
  <c r="G419"/>
  <c r="J408"/>
  <c r="G408"/>
  <c r="J382"/>
  <c r="G382"/>
  <c r="J381"/>
  <c r="G381"/>
  <c r="J360"/>
  <c r="G360"/>
  <c r="J354"/>
  <c r="G354"/>
  <c r="J334"/>
  <c r="G334"/>
  <c r="J320"/>
  <c r="G320"/>
  <c r="J309"/>
  <c r="G309"/>
  <c r="J307"/>
  <c r="G307"/>
  <c r="J294"/>
  <c r="G294"/>
  <c r="J282"/>
  <c r="G282"/>
  <c r="J275"/>
  <c r="G275"/>
  <c r="J263"/>
  <c r="G263"/>
  <c r="J256"/>
  <c r="G256"/>
  <c r="J242"/>
  <c r="G242"/>
  <c r="J232"/>
  <c r="G232"/>
  <c r="J228"/>
  <c r="G228"/>
  <c r="J224"/>
  <c r="G224"/>
  <c r="J222"/>
  <c r="G222"/>
  <c r="J219"/>
  <c r="G219"/>
  <c r="J214"/>
  <c r="G214"/>
  <c r="J206"/>
  <c r="G206"/>
  <c r="J170"/>
  <c r="G170"/>
  <c r="J104"/>
  <c r="G104"/>
  <c r="J78"/>
  <c r="G78"/>
  <c r="J76"/>
  <c r="G76"/>
  <c r="J56"/>
  <c r="G56"/>
  <c r="J3005"/>
  <c r="G3005"/>
  <c r="J3004"/>
  <c r="G3004"/>
  <c r="J3003"/>
  <c r="G3003"/>
  <c r="J3001"/>
  <c r="G3001"/>
  <c r="J2277"/>
  <c r="G2277"/>
  <c r="J2273"/>
  <c r="G2273"/>
  <c r="J2264"/>
  <c r="G2264"/>
  <c r="J2253"/>
  <c r="G2253"/>
  <c r="J2252"/>
  <c r="G2252"/>
  <c r="J2248"/>
  <c r="G2248"/>
  <c r="J2224"/>
  <c r="G2224"/>
  <c r="J2191"/>
  <c r="G2191"/>
  <c r="J1503"/>
  <c r="G1503"/>
  <c r="J1495"/>
  <c r="G1495"/>
  <c r="J1468"/>
  <c r="G1468"/>
  <c r="J1466"/>
  <c r="G1466"/>
  <c r="J1449"/>
  <c r="G1449"/>
  <c r="J1433"/>
  <c r="G1433"/>
  <c r="J1430"/>
  <c r="G1430"/>
  <c r="J1429"/>
  <c r="G1429"/>
  <c r="J1426"/>
  <c r="G1426"/>
  <c r="J1425"/>
  <c r="G1425"/>
  <c r="J1416"/>
  <c r="G1416"/>
  <c r="J1414"/>
  <c r="G1414"/>
  <c r="J1413"/>
  <c r="G1413"/>
  <c r="J1406"/>
  <c r="G1406"/>
  <c r="J1401"/>
  <c r="G1401"/>
  <c r="J1393"/>
  <c r="G1393"/>
  <c r="J1391"/>
  <c r="G1391"/>
  <c r="J1386"/>
  <c r="G1386"/>
  <c r="J1385"/>
  <c r="G1385"/>
  <c r="J1374"/>
  <c r="G1374"/>
  <c r="J1372"/>
  <c r="G1372"/>
  <c r="J1367"/>
  <c r="G1367"/>
  <c r="J1364"/>
  <c r="G1364"/>
  <c r="J1347"/>
  <c r="G1347"/>
  <c r="J1341"/>
  <c r="G1341"/>
  <c r="J1332"/>
  <c r="G1332"/>
  <c r="J1307"/>
  <c r="G1307"/>
  <c r="J1298"/>
  <c r="G1298"/>
  <c r="J1297"/>
  <c r="G1297"/>
  <c r="J1295"/>
  <c r="G1295"/>
  <c r="J1286"/>
  <c r="G1286"/>
  <c r="J1276"/>
  <c r="G1276"/>
  <c r="J1263"/>
  <c r="G1263"/>
  <c r="J1260"/>
  <c r="G1260"/>
  <c r="J1256"/>
  <c r="G1256"/>
  <c r="J1234"/>
  <c r="G1234"/>
  <c r="J1232"/>
  <c r="G1232"/>
  <c r="J1229"/>
  <c r="G1229"/>
  <c r="J1210"/>
  <c r="G1210"/>
  <c r="J1205"/>
  <c r="G1205"/>
  <c r="J1192"/>
  <c r="G1192"/>
  <c r="J1190"/>
  <c r="G1190"/>
  <c r="J1188"/>
  <c r="G1188"/>
  <c r="J1186"/>
  <c r="G1186"/>
  <c r="J1182"/>
  <c r="G1182"/>
  <c r="J1180"/>
  <c r="G1180"/>
  <c r="J1175"/>
  <c r="G1175"/>
  <c r="J1114"/>
  <c r="G1114"/>
  <c r="J1081"/>
  <c r="G1081"/>
  <c r="J1067"/>
  <c r="G1067"/>
  <c r="J1066"/>
  <c r="G1066"/>
  <c r="J1048"/>
  <c r="G1048"/>
  <c r="J1023"/>
  <c r="G1023"/>
  <c r="J1016"/>
  <c r="G1016"/>
  <c r="J1007"/>
  <c r="G1007"/>
  <c r="J990"/>
  <c r="G990"/>
  <c r="J988"/>
  <c r="G988"/>
  <c r="J983"/>
  <c r="G983"/>
  <c r="J926"/>
  <c r="G926"/>
  <c r="J909"/>
  <c r="G909"/>
  <c r="J891"/>
  <c r="G891"/>
  <c r="J858"/>
  <c r="G858"/>
  <c r="J853"/>
  <c r="G853"/>
  <c r="J850"/>
  <c r="G850"/>
  <c r="J843"/>
  <c r="G843"/>
  <c r="J841"/>
  <c r="G841"/>
  <c r="J830"/>
  <c r="G830"/>
  <c r="J810"/>
  <c r="G810"/>
  <c r="J794"/>
  <c r="G794"/>
  <c r="J786"/>
  <c r="G786"/>
  <c r="J776"/>
  <c r="G776"/>
  <c r="J754"/>
  <c r="G754"/>
  <c r="J733"/>
  <c r="G733"/>
  <c r="J730"/>
  <c r="G730"/>
  <c r="J670"/>
  <c r="G670"/>
  <c r="J661"/>
  <c r="G661"/>
  <c r="J633"/>
  <c r="G633"/>
  <c r="J598"/>
  <c r="G598"/>
  <c r="J596"/>
  <c r="G596"/>
  <c r="J591"/>
  <c r="G591"/>
  <c r="J586"/>
  <c r="G586"/>
  <c r="J576"/>
  <c r="G576"/>
  <c r="J575"/>
  <c r="G575"/>
  <c r="J570"/>
  <c r="G570"/>
  <c r="J563"/>
  <c r="G563"/>
  <c r="J559"/>
  <c r="G559"/>
  <c r="J556"/>
  <c r="G556"/>
  <c r="J553"/>
  <c r="G553"/>
  <c r="J543"/>
  <c r="G543"/>
  <c r="J536"/>
  <c r="G536"/>
  <c r="J531"/>
  <c r="G531"/>
  <c r="J518"/>
  <c r="G518"/>
  <c r="J491"/>
  <c r="G491"/>
  <c r="J488"/>
  <c r="G488"/>
  <c r="J466"/>
  <c r="G466"/>
  <c r="J459"/>
  <c r="G459"/>
  <c r="J442"/>
  <c r="G442"/>
  <c r="J440"/>
  <c r="G440"/>
  <c r="J375"/>
  <c r="G375"/>
  <c r="J359"/>
  <c r="G359"/>
  <c r="J346"/>
  <c r="G346"/>
  <c r="J308"/>
  <c r="G308"/>
  <c r="J305"/>
  <c r="G305"/>
  <c r="J300"/>
  <c r="G300"/>
  <c r="J296"/>
  <c r="G296"/>
  <c r="J293"/>
  <c r="G293"/>
  <c r="J281"/>
  <c r="G281"/>
  <c r="J276"/>
  <c r="G276"/>
  <c r="J271"/>
  <c r="G271"/>
  <c r="J267"/>
  <c r="G267"/>
  <c r="J262"/>
  <c r="G262"/>
  <c r="J259"/>
  <c r="G259"/>
  <c r="J243"/>
  <c r="G243"/>
  <c r="J236"/>
  <c r="G236"/>
  <c r="J223"/>
  <c r="G223"/>
  <c r="J218"/>
  <c r="G218"/>
  <c r="J215"/>
  <c r="G215"/>
  <c r="J184"/>
  <c r="G184"/>
  <c r="J173"/>
  <c r="G173"/>
  <c r="J169"/>
  <c r="G169"/>
  <c r="J153"/>
  <c r="G153"/>
  <c r="J151"/>
  <c r="G151"/>
  <c r="J139"/>
  <c r="G139"/>
  <c r="J131"/>
  <c r="G131"/>
  <c r="J125"/>
  <c r="G125"/>
  <c r="J118"/>
  <c r="G118"/>
  <c r="J79"/>
  <c r="G79"/>
  <c r="J67"/>
  <c r="G67"/>
  <c r="J64"/>
  <c r="G64"/>
  <c r="J55"/>
  <c r="G55"/>
  <c r="J3007"/>
  <c r="G3007"/>
  <c r="J2992"/>
  <c r="G2992"/>
  <c r="J2988"/>
  <c r="G2988"/>
  <c r="J2985"/>
  <c r="G2985"/>
  <c r="J2979"/>
  <c r="G2979"/>
  <c r="J2978"/>
  <c r="G2978"/>
  <c r="J2976"/>
  <c r="G2976"/>
  <c r="J2975"/>
  <c r="G2975"/>
  <c r="J2963"/>
  <c r="G2963"/>
  <c r="J2962"/>
  <c r="G2962"/>
  <c r="J2961"/>
  <c r="G2961"/>
  <c r="J2960"/>
  <c r="G2960"/>
  <c r="J2959"/>
  <c r="G2959"/>
  <c r="J2957"/>
  <c r="G2957"/>
  <c r="J2951"/>
  <c r="G2951"/>
  <c r="J2944"/>
  <c r="G2944"/>
  <c r="J2943"/>
  <c r="G2943"/>
  <c r="J2939"/>
  <c r="G2939"/>
  <c r="J2938"/>
  <c r="G2938"/>
  <c r="J2937"/>
  <c r="G2937"/>
  <c r="J2936"/>
  <c r="G2936"/>
  <c r="J2935"/>
  <c r="G2935"/>
  <c r="J2934"/>
  <c r="G2934"/>
  <c r="J2931"/>
  <c r="G2931"/>
  <c r="J2930"/>
  <c r="G2930"/>
  <c r="J2924"/>
  <c r="G2924"/>
  <c r="J2916"/>
  <c r="G2916"/>
  <c r="J2913"/>
  <c r="G2913"/>
  <c r="J2911"/>
  <c r="G2911"/>
  <c r="J2896"/>
  <c r="G2896"/>
  <c r="J2892"/>
  <c r="G2892"/>
  <c r="J2877"/>
  <c r="G2877"/>
  <c r="J2871"/>
  <c r="G2871"/>
  <c r="J2859"/>
  <c r="G2859"/>
  <c r="J2858"/>
  <c r="G2858"/>
  <c r="J2856"/>
  <c r="G2856"/>
  <c r="J2854"/>
  <c r="G2854"/>
  <c r="J2853"/>
  <c r="G2853"/>
  <c r="J2852"/>
  <c r="G2852"/>
  <c r="J2851"/>
  <c r="G2851"/>
  <c r="J2850"/>
  <c r="G2850"/>
  <c r="J2849"/>
  <c r="G2849"/>
  <c r="J2844"/>
  <c r="G2844"/>
  <c r="J2835"/>
  <c r="G2835"/>
  <c r="J2830"/>
  <c r="G2830"/>
  <c r="J2829"/>
  <c r="G2829"/>
  <c r="J2828"/>
  <c r="G2828"/>
  <c r="J2823"/>
  <c r="G2823"/>
  <c r="J2820"/>
  <c r="G2820"/>
  <c r="J2818"/>
  <c r="G2818"/>
  <c r="J2816"/>
  <c r="G2816"/>
  <c r="J2812"/>
  <c r="G2812"/>
  <c r="J2809"/>
  <c r="G2809"/>
  <c r="J2805"/>
  <c r="G2805"/>
  <c r="J2804"/>
  <c r="G2804"/>
  <c r="J2802"/>
  <c r="G2802"/>
  <c r="J2800"/>
  <c r="G2800"/>
  <c r="J2794"/>
  <c r="G2794"/>
  <c r="J2793"/>
  <c r="G2793"/>
  <c r="J2792"/>
  <c r="G2792"/>
  <c r="J2791"/>
  <c r="G2791"/>
  <c r="J2786"/>
  <c r="G2786"/>
  <c r="J2785"/>
  <c r="G2785"/>
  <c r="J2784"/>
  <c r="G2784"/>
  <c r="J2783"/>
  <c r="G2783"/>
  <c r="J2780"/>
  <c r="G2780"/>
  <c r="J2779"/>
  <c r="G2779"/>
  <c r="J2778"/>
  <c r="G2778"/>
  <c r="J2777"/>
  <c r="G2777"/>
  <c r="J2774"/>
  <c r="G2774"/>
  <c r="J2773"/>
  <c r="G2773"/>
  <c r="J2772"/>
  <c r="G2772"/>
  <c r="J2764"/>
  <c r="G2764"/>
  <c r="J2763"/>
  <c r="G2763"/>
  <c r="J2762"/>
  <c r="G2762"/>
  <c r="J2761"/>
  <c r="G2761"/>
  <c r="J2752"/>
  <c r="G2752"/>
  <c r="J2751"/>
  <c r="G2751"/>
  <c r="J2750"/>
  <c r="G2750"/>
  <c r="J2745"/>
  <c r="G2745"/>
  <c r="J2744"/>
  <c r="G2744"/>
  <c r="J2740"/>
  <c r="G2740"/>
  <c r="J2735"/>
  <c r="G2735"/>
  <c r="J2734"/>
  <c r="G2734"/>
  <c r="J2731"/>
  <c r="G2731"/>
  <c r="J2730"/>
  <c r="G2730"/>
  <c r="J2729"/>
  <c r="G2729"/>
  <c r="J2728"/>
  <c r="G2728"/>
  <c r="J2727"/>
  <c r="G2727"/>
  <c r="J2726"/>
  <c r="G2726"/>
  <c r="J2725"/>
  <c r="G2725"/>
  <c r="J2724"/>
  <c r="G2724"/>
  <c r="J2723"/>
  <c r="G2723"/>
  <c r="J2718"/>
  <c r="G2718"/>
  <c r="J2717"/>
  <c r="G2717"/>
  <c r="J2716"/>
  <c r="G2716"/>
  <c r="J2715"/>
  <c r="G2715"/>
  <c r="J2714"/>
  <c r="G2714"/>
  <c r="J2713"/>
  <c r="G2713"/>
  <c r="J2711"/>
  <c r="G2711"/>
  <c r="J2708"/>
  <c r="G2708"/>
  <c r="J2707"/>
  <c r="G2707"/>
  <c r="J2706"/>
  <c r="G2706"/>
  <c r="J2704"/>
  <c r="G2704"/>
  <c r="J2703"/>
  <c r="G2703"/>
  <c r="J2696"/>
  <c r="G2696"/>
  <c r="J2693"/>
  <c r="G2693"/>
  <c r="J2692"/>
  <c r="G2692"/>
  <c r="J2691"/>
  <c r="G2691"/>
  <c r="J2690"/>
  <c r="G2690"/>
  <c r="J2686"/>
  <c r="G2686"/>
  <c r="J2682"/>
  <c r="G2682"/>
  <c r="J2679"/>
  <c r="G2679"/>
  <c r="J2678"/>
  <c r="G2678"/>
  <c r="J2677"/>
  <c r="G2677"/>
  <c r="J2676"/>
  <c r="G2676"/>
  <c r="J2675"/>
  <c r="G2675"/>
  <c r="J2674"/>
  <c r="G2674"/>
  <c r="J2673"/>
  <c r="G2673"/>
  <c r="J2672"/>
  <c r="G2672"/>
  <c r="J2669"/>
  <c r="G2669"/>
  <c r="J2668"/>
  <c r="G2668"/>
  <c r="J2667"/>
  <c r="G2667"/>
  <c r="J2666"/>
  <c r="G2666"/>
  <c r="J2665"/>
  <c r="G2665"/>
  <c r="J2662"/>
  <c r="G2662"/>
  <c r="J2661"/>
  <c r="G2661"/>
  <c r="J2660"/>
  <c r="G2660"/>
  <c r="J2659"/>
  <c r="G2659"/>
  <c r="J2656"/>
  <c r="G2656"/>
  <c r="J2654"/>
  <c r="G2654"/>
  <c r="J2646"/>
  <c r="G2646"/>
  <c r="J2640"/>
  <c r="G2640"/>
  <c r="J2634"/>
  <c r="G2634"/>
  <c r="J2632"/>
  <c r="G2632"/>
  <c r="J2631"/>
  <c r="G2631"/>
  <c r="J2630"/>
  <c r="G2630"/>
  <c r="J2629"/>
  <c r="G2629"/>
  <c r="J2628"/>
  <c r="G2628"/>
  <c r="J2622"/>
  <c r="G2622"/>
  <c r="J2615"/>
  <c r="G2615"/>
  <c r="J2610"/>
  <c r="G2610"/>
  <c r="J2603"/>
  <c r="G2603"/>
  <c r="J2600"/>
  <c r="G2600"/>
  <c r="J2596"/>
  <c r="G2596"/>
  <c r="J2593"/>
  <c r="G2593"/>
  <c r="J2585"/>
  <c r="G2585"/>
  <c r="J2560"/>
  <c r="G2560"/>
  <c r="J2559"/>
  <c r="G2559"/>
  <c r="J2558"/>
  <c r="G2558"/>
  <c r="J2556"/>
  <c r="G2556"/>
  <c r="J2555"/>
  <c r="G2555"/>
  <c r="J2547"/>
  <c r="G2547"/>
  <c r="J2544"/>
  <c r="G2544"/>
  <c r="J2543"/>
  <c r="G2543"/>
  <c r="J2539"/>
  <c r="G2539"/>
  <c r="J2538"/>
  <c r="G2538"/>
  <c r="J2537"/>
  <c r="G2537"/>
  <c r="J2535"/>
  <c r="G2535"/>
  <c r="J2534"/>
  <c r="G2534"/>
  <c r="J2532"/>
  <c r="G2532"/>
  <c r="J2531"/>
  <c r="G2531"/>
  <c r="J2529"/>
  <c r="G2529"/>
  <c r="J2507"/>
  <c r="G2507"/>
  <c r="J2504"/>
  <c r="G2504"/>
  <c r="J2503"/>
  <c r="G2503"/>
  <c r="J2498"/>
  <c r="G2498"/>
  <c r="J2496"/>
  <c r="G2496"/>
  <c r="J2490"/>
  <c r="G2490"/>
  <c r="J2489"/>
  <c r="G2489"/>
  <c r="J2475"/>
  <c r="G2475"/>
  <c r="J2473"/>
  <c r="G2473"/>
  <c r="J2459"/>
  <c r="G2459"/>
  <c r="J2458"/>
  <c r="G2458"/>
  <c r="J2457"/>
  <c r="G2457"/>
  <c r="J2450"/>
  <c r="G2450"/>
  <c r="J2449"/>
  <c r="G2449"/>
  <c r="J2447"/>
  <c r="G2447"/>
  <c r="J2445"/>
  <c r="G2445"/>
  <c r="J2444"/>
  <c r="G2444"/>
  <c r="J2442"/>
  <c r="G2442"/>
  <c r="J2440"/>
  <c r="G2440"/>
  <c r="J2435"/>
  <c r="G2435"/>
  <c r="J2429"/>
  <c r="G2429"/>
  <c r="J2422"/>
  <c r="G2422"/>
  <c r="J2418"/>
  <c r="G2418"/>
  <c r="J2407"/>
  <c r="G2407"/>
  <c r="J2400"/>
  <c r="G2400"/>
  <c r="J2398"/>
  <c r="G2398"/>
  <c r="J2397"/>
  <c r="G2397"/>
  <c r="J2396"/>
  <c r="G2396"/>
  <c r="J2394"/>
  <c r="G2394"/>
  <c r="J2393"/>
  <c r="G2393"/>
  <c r="J2391"/>
  <c r="G2391"/>
  <c r="J2387"/>
  <c r="G2387"/>
  <c r="J2386"/>
  <c r="G2386"/>
  <c r="J2385"/>
  <c r="G2385"/>
  <c r="J2380"/>
  <c r="G2380"/>
  <c r="J2377"/>
  <c r="G2377"/>
  <c r="J2374"/>
  <c r="G2374"/>
  <c r="J2373"/>
  <c r="G2373"/>
  <c r="J2372"/>
  <c r="G2372"/>
  <c r="J2371"/>
  <c r="G2371"/>
  <c r="J2369"/>
  <c r="G2369"/>
  <c r="J2368"/>
  <c r="G2368"/>
  <c r="J2367"/>
  <c r="G2367"/>
  <c r="J2366"/>
  <c r="G2366"/>
  <c r="J2364"/>
  <c r="G2364"/>
  <c r="J2363"/>
  <c r="G2363"/>
  <c r="J2359"/>
  <c r="G2359"/>
  <c r="J2355"/>
  <c r="G2355"/>
  <c r="J2350"/>
  <c r="G2350"/>
  <c r="J2349"/>
  <c r="G2349"/>
  <c r="J2348"/>
  <c r="G2348"/>
  <c r="J2347"/>
  <c r="G2347"/>
  <c r="J2334"/>
  <c r="G2334"/>
  <c r="J2331"/>
  <c r="G2331"/>
  <c r="J2330"/>
  <c r="G2330"/>
  <c r="J2329"/>
  <c r="G2329"/>
  <c r="J2327"/>
  <c r="G2327"/>
  <c r="J2326"/>
  <c r="G2326"/>
  <c r="J2323"/>
  <c r="G2323"/>
  <c r="J2322"/>
  <c r="G2322"/>
  <c r="J2321"/>
  <c r="G2321"/>
  <c r="J2320"/>
  <c r="G2320"/>
  <c r="J2319"/>
  <c r="G2319"/>
  <c r="J2318"/>
  <c r="G2318"/>
  <c r="J2316"/>
  <c r="G2316"/>
  <c r="J2313"/>
  <c r="G2313"/>
  <c r="J2312"/>
  <c r="G2312"/>
  <c r="J2310"/>
  <c r="G2310"/>
  <c r="J2308"/>
  <c r="G2308"/>
  <c r="J2307"/>
  <c r="G2307"/>
  <c r="J2306"/>
  <c r="G2306"/>
  <c r="J2305"/>
  <c r="G2305"/>
  <c r="J2288"/>
  <c r="G2288"/>
  <c r="J2287"/>
  <c r="G2287"/>
  <c r="J2285"/>
  <c r="G2285"/>
  <c r="J2284"/>
  <c r="G2284"/>
  <c r="J2275"/>
  <c r="G2275"/>
  <c r="J2272"/>
  <c r="G2272"/>
  <c r="J2263"/>
  <c r="G2263"/>
  <c r="J2257"/>
  <c r="G2257"/>
  <c r="J2251"/>
  <c r="G2251"/>
  <c r="J2247"/>
  <c r="G2247"/>
  <c r="J2241"/>
  <c r="G2241"/>
  <c r="J2240"/>
  <c r="G2240"/>
  <c r="J2239"/>
  <c r="G2239"/>
  <c r="J2237"/>
  <c r="G2237"/>
  <c r="J2235"/>
  <c r="G2235"/>
  <c r="J2233"/>
  <c r="G2233"/>
  <c r="J2231"/>
  <c r="G2231"/>
  <c r="J2227"/>
  <c r="G2227"/>
  <c r="J2225"/>
  <c r="G2225"/>
  <c r="J2222"/>
  <c r="G2222"/>
  <c r="J2219"/>
  <c r="G2219"/>
  <c r="J2216"/>
  <c r="G2216"/>
  <c r="J2206"/>
  <c r="G2206"/>
  <c r="J2198"/>
  <c r="G2198"/>
  <c r="J2181"/>
  <c r="G2181"/>
  <c r="J2178"/>
  <c r="G2178"/>
  <c r="J2173"/>
  <c r="G2173"/>
  <c r="J2166"/>
  <c r="G2166"/>
  <c r="J2167"/>
  <c r="G2167"/>
  <c r="J2146"/>
  <c r="G2146"/>
  <c r="J2145"/>
  <c r="G2145"/>
  <c r="J2138"/>
  <c r="G2138"/>
  <c r="J2126"/>
  <c r="G2126"/>
  <c r="J2090"/>
  <c r="G2090"/>
  <c r="J2089"/>
  <c r="G2089"/>
  <c r="J2088"/>
  <c r="G2088"/>
  <c r="J2081"/>
  <c r="G2081"/>
  <c r="J2080"/>
  <c r="G2080"/>
  <c r="J2073"/>
  <c r="G2073"/>
  <c r="J2048"/>
  <c r="G2048"/>
  <c r="J2038"/>
  <c r="G2038"/>
  <c r="J2025"/>
  <c r="G2025"/>
  <c r="J2021"/>
  <c r="G2021"/>
  <c r="J1998"/>
  <c r="G1998"/>
  <c r="J1986"/>
  <c r="G1986"/>
  <c r="J1982"/>
  <c r="G1982"/>
  <c r="J1981"/>
  <c r="G1981"/>
  <c r="J1977"/>
  <c r="G1977"/>
  <c r="J1975"/>
  <c r="G1975"/>
  <c r="J1973"/>
  <c r="G1973"/>
  <c r="J1958"/>
  <c r="G1958"/>
  <c r="J1956"/>
  <c r="G1956"/>
  <c r="J1955"/>
  <c r="G1955"/>
  <c r="J1954"/>
  <c r="G1954"/>
  <c r="J1933"/>
  <c r="G1933"/>
  <c r="J1932"/>
  <c r="G1932"/>
  <c r="J1923"/>
  <c r="G1923"/>
  <c r="J1922"/>
  <c r="G1922"/>
  <c r="J1920"/>
  <c r="G1920"/>
  <c r="J1915"/>
  <c r="G1915"/>
  <c r="J1912"/>
  <c r="G1912"/>
  <c r="J1903"/>
  <c r="G1903"/>
  <c r="J1894"/>
  <c r="G1894"/>
  <c r="J1830"/>
  <c r="G1830"/>
  <c r="J1829"/>
  <c r="G1829"/>
  <c r="J1813"/>
  <c r="G1813"/>
  <c r="J1800"/>
  <c r="G1800"/>
  <c r="J1799"/>
  <c r="G1799"/>
  <c r="J1798"/>
  <c r="G1798"/>
  <c r="J1779"/>
  <c r="G1779"/>
  <c r="J1778"/>
  <c r="G1778"/>
  <c r="J1724"/>
  <c r="G1724"/>
  <c r="J1711"/>
  <c r="G1711"/>
  <c r="J1685"/>
  <c r="G1685"/>
  <c r="J1684"/>
  <c r="G1684"/>
  <c r="J1683"/>
  <c r="G1683"/>
  <c r="J1661"/>
  <c r="G1661"/>
  <c r="J1600"/>
  <c r="G1600"/>
  <c r="J1595"/>
  <c r="G1595"/>
  <c r="J1594"/>
  <c r="G1594"/>
  <c r="J1585"/>
  <c r="G1585"/>
  <c r="J1583"/>
  <c r="G1583"/>
  <c r="J1553"/>
  <c r="G1553"/>
  <c r="J1549"/>
  <c r="G1549"/>
  <c r="J1541"/>
  <c r="G1541"/>
  <c r="J1531"/>
  <c r="G1531"/>
  <c r="J1514"/>
  <c r="G1514"/>
  <c r="J1513"/>
  <c r="G1513"/>
  <c r="J1512"/>
  <c r="G1512"/>
  <c r="J1492"/>
  <c r="G1492"/>
  <c r="J1486"/>
  <c r="G1486"/>
  <c r="J1484"/>
  <c r="G1484"/>
  <c r="J1483"/>
  <c r="G1483"/>
  <c r="J1481"/>
  <c r="G1481"/>
  <c r="J1480"/>
  <c r="G1480"/>
  <c r="J1473"/>
  <c r="G1473"/>
  <c r="J1472"/>
  <c r="G1472"/>
  <c r="J1464"/>
  <c r="G1464"/>
  <c r="J1459"/>
  <c r="G1459"/>
  <c r="J1451"/>
  <c r="G1451"/>
  <c r="J1444"/>
  <c r="G1444"/>
  <c r="J1443"/>
  <c r="G1443"/>
  <c r="J1437"/>
  <c r="G1437"/>
  <c r="J1432"/>
  <c r="G1432"/>
  <c r="J1428"/>
  <c r="G1428"/>
  <c r="J1418"/>
  <c r="G1418"/>
  <c r="J1415"/>
  <c r="G1415"/>
  <c r="J1412"/>
  <c r="G1412"/>
  <c r="J1410"/>
  <c r="G1410"/>
  <c r="J1405"/>
  <c r="G1405"/>
  <c r="J1397"/>
  <c r="G1397"/>
  <c r="J1396"/>
  <c r="G1396"/>
  <c r="J1395"/>
  <c r="G1395"/>
  <c r="J1390"/>
  <c r="G1390"/>
  <c r="J1389"/>
  <c r="G1389"/>
  <c r="J1388"/>
  <c r="G1388"/>
  <c r="J1383"/>
  <c r="G1383"/>
  <c r="J1382"/>
  <c r="G1382"/>
  <c r="J1378"/>
  <c r="G1378"/>
  <c r="J1375"/>
  <c r="G1375"/>
  <c r="J1371"/>
  <c r="G1371"/>
  <c r="J1362"/>
  <c r="G1362"/>
  <c r="J1359"/>
  <c r="G1359"/>
  <c r="J1358"/>
  <c r="G1358"/>
  <c r="J1352"/>
  <c r="G1352"/>
  <c r="J1350"/>
  <c r="G1350"/>
  <c r="J1349"/>
  <c r="G1349"/>
  <c r="J1348"/>
  <c r="G1348"/>
  <c r="J1346"/>
  <c r="G1346"/>
  <c r="J1344"/>
  <c r="G1344"/>
  <c r="J1343"/>
  <c r="G1343"/>
  <c r="J1340"/>
  <c r="G1340"/>
  <c r="J1338"/>
  <c r="G1338"/>
  <c r="J1336"/>
  <c r="G1336"/>
  <c r="J1333"/>
  <c r="G1333"/>
  <c r="J1331"/>
  <c r="G1331"/>
  <c r="J1326"/>
  <c r="G1326"/>
  <c r="J1325"/>
  <c r="G1325"/>
  <c r="J1320"/>
  <c r="G1320"/>
  <c r="J1319"/>
  <c r="G1319"/>
  <c r="J1318"/>
  <c r="G1318"/>
  <c r="J1317"/>
  <c r="G1317"/>
  <c r="J1315"/>
  <c r="G1315"/>
  <c r="J1314"/>
  <c r="G1314"/>
  <c r="J1313"/>
  <c r="G1313"/>
  <c r="J1310"/>
  <c r="G1310"/>
  <c r="J1305"/>
  <c r="G1305"/>
  <c r="J1304"/>
  <c r="G1304"/>
  <c r="J1303"/>
  <c r="G1303"/>
  <c r="J1301"/>
  <c r="G1301"/>
  <c r="J1291"/>
  <c r="G1291"/>
  <c r="J1290"/>
  <c r="G1290"/>
  <c r="J1284"/>
  <c r="G1284"/>
  <c r="J1281"/>
  <c r="G1281"/>
  <c r="J1280"/>
  <c r="G1280"/>
  <c r="J1279"/>
  <c r="G1279"/>
  <c r="J1277"/>
  <c r="G1277"/>
  <c r="J1274"/>
  <c r="G1274"/>
  <c r="J1273"/>
  <c r="G1273"/>
  <c r="J1270"/>
  <c r="G1270"/>
  <c r="J1267"/>
  <c r="G1267"/>
  <c r="J1264"/>
  <c r="G1264"/>
  <c r="J1261"/>
  <c r="G1261"/>
  <c r="J1255"/>
  <c r="G1255"/>
  <c r="J1254"/>
  <c r="G1254"/>
  <c r="J1253"/>
  <c r="G1253"/>
  <c r="J1251"/>
  <c r="G1251"/>
  <c r="J1250"/>
  <c r="G1250"/>
  <c r="J1248"/>
  <c r="G1248"/>
  <c r="J1247"/>
  <c r="G1247"/>
  <c r="J1245"/>
  <c r="G1245"/>
  <c r="J1243"/>
  <c r="G1243"/>
  <c r="J1237"/>
  <c r="G1237"/>
  <c r="J1236"/>
  <c r="G1236"/>
  <c r="J1228"/>
  <c r="G1228"/>
  <c r="J1227"/>
  <c r="G1227"/>
  <c r="J1226"/>
  <c r="G1226"/>
  <c r="J1223"/>
  <c r="G1223"/>
  <c r="J1220"/>
  <c r="G1220"/>
  <c r="J1219"/>
  <c r="G1219"/>
  <c r="J1218"/>
  <c r="G1218"/>
  <c r="J1207"/>
  <c r="G1207"/>
  <c r="J1206"/>
  <c r="G1206"/>
  <c r="J1202"/>
  <c r="G1202"/>
  <c r="J1198"/>
  <c r="G1198"/>
  <c r="J1197"/>
  <c r="G1197"/>
  <c r="J1196"/>
  <c r="G1196"/>
  <c r="J1195"/>
  <c r="G1195"/>
  <c r="J1194"/>
  <c r="G1194"/>
  <c r="J1191"/>
  <c r="G1191"/>
  <c r="J1183"/>
  <c r="G1183"/>
  <c r="J1174"/>
  <c r="G1174"/>
  <c r="J1164"/>
  <c r="G1164"/>
  <c r="J1157"/>
  <c r="G1157"/>
  <c r="J1128"/>
  <c r="G1128"/>
  <c r="J1118"/>
  <c r="G1118"/>
  <c r="J1099"/>
  <c r="G1099"/>
  <c r="J1089"/>
  <c r="G1089"/>
  <c r="J1085"/>
  <c r="G1085"/>
  <c r="J1061"/>
  <c r="G1061"/>
  <c r="J1043"/>
  <c r="G1043"/>
  <c r="J1019"/>
  <c r="G1019"/>
  <c r="J1014"/>
  <c r="G1014"/>
  <c r="J1013"/>
  <c r="G1013"/>
  <c r="J1012"/>
  <c r="G1012"/>
  <c r="J987"/>
  <c r="G987"/>
  <c r="J977"/>
  <c r="G977"/>
  <c r="J974"/>
  <c r="G974"/>
  <c r="J973"/>
  <c r="G973"/>
  <c r="J972"/>
  <c r="G972"/>
  <c r="J968"/>
  <c r="G968"/>
  <c r="J965"/>
  <c r="G965"/>
  <c r="J960"/>
  <c r="G960"/>
  <c r="J955"/>
  <c r="G955"/>
  <c r="J915"/>
  <c r="G915"/>
  <c r="J904"/>
  <c r="G904"/>
  <c r="J886"/>
  <c r="G886"/>
  <c r="J883"/>
  <c r="G883"/>
  <c r="J874"/>
  <c r="G874"/>
  <c r="J862"/>
  <c r="G862"/>
  <c r="J855"/>
  <c r="G855"/>
  <c r="J846"/>
  <c r="G846"/>
  <c r="J844"/>
  <c r="G844"/>
  <c r="J840"/>
  <c r="G840"/>
  <c r="J838"/>
  <c r="G838"/>
  <c r="J837"/>
  <c r="G837"/>
  <c r="J834"/>
  <c r="G834"/>
  <c r="J807"/>
  <c r="G807"/>
  <c r="J799"/>
  <c r="G799"/>
  <c r="J795"/>
  <c r="G795"/>
  <c r="J790"/>
  <c r="G790"/>
  <c r="J772"/>
  <c r="G772"/>
  <c r="J768"/>
  <c r="G768"/>
  <c r="J767"/>
  <c r="G767"/>
  <c r="J764"/>
  <c r="G764"/>
  <c r="J732"/>
  <c r="G732"/>
  <c r="J725"/>
  <c r="G725"/>
  <c r="J721"/>
  <c r="G721"/>
  <c r="J720"/>
  <c r="G720"/>
  <c r="J716"/>
  <c r="G716"/>
  <c r="J703"/>
  <c r="G703"/>
  <c r="J701"/>
  <c r="G701"/>
  <c r="J699"/>
  <c r="G699"/>
  <c r="J698"/>
  <c r="G698"/>
  <c r="J693"/>
  <c r="G693"/>
  <c r="J692"/>
  <c r="G692"/>
  <c r="J691"/>
  <c r="G691"/>
  <c r="J687"/>
  <c r="G687"/>
  <c r="J686"/>
  <c r="G686"/>
  <c r="J684"/>
  <c r="G684"/>
  <c r="J683"/>
  <c r="G683"/>
  <c r="J680"/>
  <c r="G680"/>
  <c r="J658"/>
  <c r="G658"/>
  <c r="J645"/>
  <c r="G645"/>
  <c r="J643"/>
  <c r="G643"/>
  <c r="J625"/>
  <c r="G625"/>
  <c r="J617"/>
  <c r="G617"/>
  <c r="J615"/>
  <c r="G615"/>
  <c r="J613"/>
  <c r="G613"/>
  <c r="J606"/>
  <c r="G606"/>
  <c r="J604"/>
  <c r="G604"/>
  <c r="J603"/>
  <c r="G603"/>
  <c r="J602"/>
  <c r="G602"/>
  <c r="J599"/>
  <c r="G599"/>
  <c r="J590"/>
  <c r="G590"/>
  <c r="J588"/>
  <c r="G588"/>
  <c r="J585"/>
  <c r="G585"/>
  <c r="J582"/>
  <c r="G582"/>
  <c r="J581"/>
  <c r="G581"/>
  <c r="J574"/>
  <c r="G574"/>
  <c r="J568"/>
  <c r="G568"/>
  <c r="J567"/>
  <c r="G567"/>
  <c r="J565"/>
  <c r="G565"/>
  <c r="J561"/>
  <c r="G561"/>
  <c r="J558"/>
  <c r="G558"/>
  <c r="J555"/>
  <c r="G555"/>
  <c r="J552"/>
  <c r="G552"/>
  <c r="J549"/>
  <c r="G549"/>
  <c r="J546"/>
  <c r="G546"/>
  <c r="J542"/>
  <c r="G542"/>
  <c r="J539"/>
  <c r="G539"/>
  <c r="J537"/>
  <c r="G537"/>
  <c r="J535"/>
  <c r="G535"/>
  <c r="J534"/>
  <c r="G534"/>
  <c r="J530"/>
  <c r="G530"/>
  <c r="J526"/>
  <c r="G526"/>
  <c r="J525"/>
  <c r="G525"/>
  <c r="J524"/>
  <c r="G524"/>
  <c r="J523"/>
  <c r="G523"/>
  <c r="J522"/>
  <c r="G522"/>
  <c r="J521"/>
  <c r="G521"/>
  <c r="J519"/>
  <c r="G519"/>
  <c r="J512"/>
  <c r="G512"/>
  <c r="J510"/>
  <c r="G510"/>
  <c r="J509"/>
  <c r="G509"/>
  <c r="J508"/>
  <c r="G508"/>
  <c r="J507"/>
  <c r="G507"/>
  <c r="J506"/>
  <c r="G506"/>
  <c r="J505"/>
  <c r="G505"/>
  <c r="J499"/>
  <c r="G499"/>
  <c r="J496"/>
  <c r="G496"/>
  <c r="J493"/>
  <c r="G493"/>
  <c r="J487"/>
  <c r="G487"/>
  <c r="J481"/>
  <c r="G481"/>
  <c r="J478"/>
  <c r="G478"/>
  <c r="J474"/>
  <c r="G474"/>
  <c r="J472"/>
  <c r="G472"/>
  <c r="J469"/>
  <c r="G469"/>
  <c r="J468"/>
  <c r="G468"/>
  <c r="J462"/>
  <c r="G462"/>
  <c r="J455"/>
  <c r="G455"/>
  <c r="J454"/>
  <c r="G454"/>
  <c r="J453"/>
  <c r="G453"/>
  <c r="J449"/>
  <c r="G449"/>
  <c r="J447"/>
  <c r="G447"/>
  <c r="J443"/>
  <c r="G443"/>
  <c r="J439"/>
  <c r="G439"/>
  <c r="J438"/>
  <c r="G438"/>
  <c r="J437"/>
  <c r="G437"/>
  <c r="J436"/>
  <c r="G436"/>
  <c r="J435"/>
  <c r="G435"/>
  <c r="J433"/>
  <c r="G433"/>
  <c r="J428"/>
  <c r="G428"/>
  <c r="J424"/>
  <c r="G424"/>
  <c r="J417"/>
  <c r="G417"/>
  <c r="J404"/>
  <c r="G404"/>
  <c r="J399"/>
  <c r="G399"/>
  <c r="J398"/>
  <c r="G398"/>
  <c r="J396"/>
  <c r="G396"/>
  <c r="J391"/>
  <c r="G391"/>
  <c r="J388"/>
  <c r="G388"/>
  <c r="J387"/>
  <c r="G387"/>
  <c r="J385"/>
  <c r="G385"/>
  <c r="J380"/>
  <c r="G380"/>
  <c r="J379"/>
  <c r="G379"/>
  <c r="J377"/>
  <c r="G377"/>
  <c r="J371"/>
  <c r="G371"/>
  <c r="J370"/>
  <c r="G370"/>
  <c r="J369"/>
  <c r="G369"/>
  <c r="J362"/>
  <c r="G362"/>
  <c r="J347"/>
  <c r="G347"/>
  <c r="J340"/>
  <c r="G340"/>
  <c r="J339"/>
  <c r="G339"/>
  <c r="J317"/>
  <c r="G317"/>
  <c r="J310"/>
  <c r="G310"/>
  <c r="J295"/>
  <c r="G295"/>
  <c r="J285"/>
  <c r="G285"/>
  <c r="J265"/>
  <c r="G265"/>
  <c r="J264"/>
  <c r="G264"/>
  <c r="J258"/>
  <c r="G258"/>
  <c r="J254"/>
  <c r="G254"/>
  <c r="J252"/>
  <c r="G252"/>
  <c r="J251"/>
  <c r="G251"/>
  <c r="J249"/>
  <c r="G249"/>
  <c r="J248"/>
  <c r="G248"/>
  <c r="J244"/>
  <c r="G244"/>
  <c r="J241"/>
  <c r="G241"/>
  <c r="J237"/>
  <c r="G237"/>
  <c r="J234"/>
  <c r="G234"/>
  <c r="J227"/>
  <c r="G227"/>
  <c r="J220"/>
  <c r="G220"/>
  <c r="J212"/>
  <c r="G212"/>
  <c r="J209"/>
  <c r="G209"/>
  <c r="J202"/>
  <c r="G202"/>
  <c r="J200"/>
  <c r="G200"/>
  <c r="J194"/>
  <c r="G194"/>
  <c r="J186"/>
  <c r="G186"/>
  <c r="J185"/>
  <c r="G185"/>
  <c r="J179"/>
  <c r="G179"/>
  <c r="J178"/>
  <c r="G178"/>
  <c r="J177"/>
  <c r="G177"/>
  <c r="J172"/>
  <c r="G172"/>
  <c r="J164"/>
  <c r="G164"/>
  <c r="J163"/>
  <c r="G163"/>
  <c r="J160"/>
  <c r="G160"/>
  <c r="J159"/>
  <c r="G159"/>
  <c r="J158"/>
  <c r="G158"/>
  <c r="J157"/>
  <c r="G157"/>
  <c r="J155"/>
  <c r="G155"/>
  <c r="J154"/>
  <c r="G154"/>
  <c r="J148"/>
  <c r="G148"/>
  <c r="J147"/>
  <c r="G147"/>
  <c r="J144"/>
  <c r="G144"/>
  <c r="J143"/>
  <c r="G143"/>
  <c r="J142"/>
  <c r="G142"/>
  <c r="J140"/>
  <c r="G140"/>
  <c r="J138"/>
  <c r="G138"/>
  <c r="J135"/>
  <c r="G135"/>
  <c r="J128"/>
  <c r="G128"/>
  <c r="J124"/>
  <c r="G124"/>
  <c r="J119"/>
  <c r="G119"/>
  <c r="J117"/>
  <c r="G117"/>
  <c r="J115"/>
  <c r="G115"/>
  <c r="J114"/>
  <c r="G114"/>
  <c r="J111"/>
  <c r="G111"/>
  <c r="J110"/>
  <c r="G110"/>
  <c r="J106"/>
  <c r="G106"/>
  <c r="J99"/>
  <c r="G99"/>
  <c r="J98"/>
  <c r="G98"/>
  <c r="J88"/>
  <c r="G88"/>
  <c r="J83"/>
  <c r="G83"/>
  <c r="J82"/>
  <c r="G82"/>
  <c r="J75"/>
  <c r="G75"/>
  <c r="J74"/>
  <c r="G74"/>
  <c r="J72"/>
  <c r="G72"/>
  <c r="J71"/>
  <c r="G71"/>
  <c r="J66"/>
  <c r="G66"/>
  <c r="J57"/>
  <c r="G57"/>
  <c r="J54"/>
  <c r="G54"/>
  <c r="J52"/>
  <c r="G52"/>
  <c r="J48"/>
  <c r="G48"/>
  <c r="J43"/>
  <c r="G43"/>
  <c r="J2997"/>
  <c r="G2997"/>
  <c r="J2996"/>
  <c r="G2996"/>
  <c r="J2873"/>
  <c r="G2873"/>
  <c r="J2872"/>
  <c r="G2872"/>
  <c r="J2868"/>
  <c r="G2868"/>
  <c r="J2867"/>
  <c r="G2867"/>
  <c r="J2866"/>
  <c r="G2866"/>
  <c r="J2865"/>
  <c r="G2865"/>
  <c r="J2799"/>
  <c r="G2799"/>
  <c r="J2767"/>
  <c r="G2767"/>
  <c r="J2733"/>
  <c r="G2733"/>
  <c r="J2732"/>
  <c r="G2732"/>
  <c r="J2722"/>
  <c r="G2722"/>
  <c r="J2721"/>
  <c r="G2721"/>
  <c r="J2712"/>
  <c r="G2712"/>
  <c r="J2702"/>
  <c r="G2702"/>
  <c r="J2649"/>
  <c r="G2649"/>
  <c r="J2648"/>
  <c r="G2648"/>
  <c r="J2470"/>
  <c r="G2470"/>
  <c r="J2469"/>
  <c r="G2469"/>
  <c r="J2437"/>
  <c r="G2437"/>
  <c r="J2436"/>
  <c r="G2436"/>
  <c r="J2410"/>
  <c r="G2410"/>
  <c r="J2379"/>
  <c r="G2379"/>
  <c r="J2378"/>
  <c r="G2378"/>
  <c r="J2362"/>
  <c r="G2362"/>
  <c r="J2361"/>
  <c r="G2361"/>
  <c r="J2360"/>
  <c r="G2360"/>
  <c r="J2290"/>
  <c r="G2290"/>
  <c r="J2269"/>
  <c r="G2269"/>
  <c r="J2232"/>
  <c r="G2232"/>
  <c r="J2201"/>
  <c r="G2201"/>
  <c r="J2194"/>
  <c r="G2194"/>
  <c r="J2184"/>
  <c r="G2184"/>
  <c r="J2170"/>
  <c r="G2170"/>
  <c r="J2140"/>
  <c r="G2140"/>
  <c r="J2120"/>
  <c r="G2120"/>
  <c r="J2119"/>
  <c r="G2119"/>
  <c r="J2074"/>
  <c r="G2074"/>
  <c r="J2068"/>
  <c r="G2068"/>
  <c r="J2065"/>
  <c r="G2065"/>
  <c r="J2063"/>
  <c r="G2063"/>
  <c r="J2060"/>
  <c r="G2060"/>
  <c r="J2058"/>
  <c r="G2058"/>
  <c r="J2049"/>
  <c r="G2049"/>
  <c r="J2047"/>
  <c r="G2047"/>
  <c r="J2046"/>
  <c r="G2046"/>
  <c r="J2044"/>
  <c r="G2044"/>
  <c r="J2043"/>
  <c r="G2043"/>
  <c r="J2040"/>
  <c r="G2040"/>
  <c r="J2030"/>
  <c r="G2030"/>
  <c r="J1980"/>
  <c r="G1980"/>
  <c r="J1952"/>
  <c r="G1952"/>
  <c r="J1951"/>
  <c r="G1951"/>
  <c r="J1925"/>
  <c r="G1925"/>
  <c r="J1914"/>
  <c r="G1914"/>
  <c r="J1906"/>
  <c r="G1906"/>
  <c r="J1893"/>
  <c r="G1893"/>
  <c r="J1891"/>
  <c r="G1891"/>
  <c r="J1853"/>
  <c r="G1853"/>
  <c r="J1811"/>
  <c r="G1811"/>
  <c r="J1806"/>
  <c r="G1806"/>
  <c r="J1793"/>
  <c r="G1793"/>
  <c r="J1784"/>
  <c r="G1784"/>
  <c r="J1776"/>
  <c r="G1776"/>
  <c r="J1768"/>
  <c r="G1768"/>
  <c r="J1766"/>
  <c r="G1766"/>
  <c r="J1765"/>
  <c r="G1765"/>
  <c r="J1764"/>
  <c r="G1764"/>
  <c r="J1760"/>
  <c r="G1760"/>
  <c r="J1746"/>
  <c r="G1746"/>
  <c r="J1734"/>
  <c r="G1734"/>
  <c r="J1738"/>
  <c r="G1738"/>
  <c r="J1733"/>
  <c r="G1733"/>
  <c r="J1730"/>
  <c r="G1730"/>
  <c r="J1725"/>
  <c r="G1725"/>
  <c r="J1712"/>
  <c r="G1712"/>
  <c r="J1709"/>
  <c r="G1709"/>
  <c r="J1705"/>
  <c r="G1705"/>
  <c r="J1593"/>
  <c r="G1593"/>
  <c r="J1582"/>
  <c r="G1582"/>
  <c r="J1565"/>
  <c r="G1565"/>
  <c r="J1548"/>
  <c r="G1548"/>
  <c r="J1504"/>
  <c r="G1504"/>
  <c r="J1456"/>
  <c r="G1456"/>
  <c r="J1452"/>
  <c r="G1452"/>
  <c r="J1309"/>
  <c r="G1309"/>
  <c r="J1302"/>
  <c r="G1302"/>
  <c r="J1287"/>
  <c r="G1287"/>
  <c r="J1221"/>
  <c r="G1221"/>
  <c r="J1214"/>
  <c r="G1214"/>
  <c r="J1213"/>
  <c r="G1213"/>
  <c r="J1211"/>
  <c r="G1211"/>
  <c r="J1172"/>
  <c r="G1172"/>
  <c r="J1169"/>
  <c r="G1169"/>
  <c r="J1162"/>
  <c r="G1162"/>
  <c r="J1151"/>
  <c r="G1151"/>
  <c r="J1150"/>
  <c r="G1150"/>
  <c r="J1149"/>
  <c r="G1149"/>
  <c r="J1147"/>
  <c r="G1147"/>
  <c r="J1146"/>
  <c r="G1146"/>
  <c r="J1145"/>
  <c r="G1145"/>
  <c r="J1129"/>
  <c r="G1129"/>
  <c r="J1127"/>
  <c r="G1127"/>
  <c r="J1126"/>
  <c r="G1126"/>
  <c r="J1124"/>
  <c r="G1124"/>
  <c r="J1116"/>
  <c r="G1116"/>
  <c r="J1115"/>
  <c r="G1115"/>
  <c r="J1113"/>
  <c r="G1113"/>
  <c r="J1107"/>
  <c r="G1107"/>
  <c r="J1102"/>
  <c r="G1102"/>
  <c r="J1073"/>
  <c r="G1073"/>
  <c r="J1069"/>
  <c r="G1069"/>
  <c r="J1060"/>
  <c r="G1060"/>
  <c r="J1053"/>
  <c r="G1053"/>
  <c r="J1035"/>
  <c r="G1035"/>
  <c r="J1031"/>
  <c r="G1031"/>
  <c r="J1025"/>
  <c r="G1025"/>
  <c r="J1020"/>
  <c r="G1020"/>
  <c r="J1018"/>
  <c r="G1018"/>
  <c r="J1005"/>
  <c r="G1005"/>
  <c r="J1004"/>
  <c r="G1004"/>
  <c r="J999"/>
  <c r="G999"/>
  <c r="J980"/>
  <c r="G980"/>
  <c r="J970"/>
  <c r="G970"/>
  <c r="J949"/>
  <c r="G949"/>
  <c r="J948"/>
  <c r="G948"/>
  <c r="J912"/>
  <c r="G912"/>
  <c r="J884"/>
  <c r="G884"/>
  <c r="J663"/>
  <c r="G663"/>
  <c r="J610"/>
  <c r="G610"/>
  <c r="J609"/>
  <c r="G609"/>
  <c r="J608"/>
  <c r="G608"/>
  <c r="J498"/>
  <c r="G498"/>
  <c r="J484"/>
  <c r="G484"/>
  <c r="J470"/>
  <c r="G470"/>
  <c r="J420"/>
  <c r="G420"/>
  <c r="J401"/>
  <c r="G401"/>
  <c r="J333"/>
  <c r="G333"/>
  <c r="J332"/>
  <c r="G332"/>
  <c r="J330"/>
  <c r="G330"/>
  <c r="J255"/>
  <c r="G255"/>
  <c r="J253"/>
  <c r="G253"/>
  <c r="J221"/>
  <c r="G221"/>
  <c r="J213"/>
  <c r="G213"/>
  <c r="J201"/>
  <c r="G201"/>
  <c r="J198"/>
  <c r="G198"/>
  <c r="J197"/>
  <c r="G197"/>
  <c r="J196"/>
  <c r="G196"/>
  <c r="J195"/>
  <c r="G195"/>
  <c r="J188"/>
  <c r="G188"/>
  <c r="J174"/>
  <c r="G174"/>
  <c r="J171"/>
  <c r="G171"/>
  <c r="J167"/>
  <c r="G167"/>
  <c r="J113"/>
  <c r="G113"/>
  <c r="J70"/>
  <c r="G70"/>
  <c r="J60"/>
  <c r="G60"/>
  <c r="J2187"/>
  <c r="G2187"/>
  <c r="J2143"/>
  <c r="G2143"/>
  <c r="J2133"/>
  <c r="G2133"/>
  <c r="J2117"/>
  <c r="G2117"/>
  <c r="J2111"/>
  <c r="G2111"/>
  <c r="J2064"/>
  <c r="G2064"/>
  <c r="J2029"/>
  <c r="G2029"/>
  <c r="J2005"/>
  <c r="G2005"/>
  <c r="J1944"/>
  <c r="G1944"/>
  <c r="J1908"/>
  <c r="G1908"/>
  <c r="J1905"/>
  <c r="G1905"/>
  <c r="J1904"/>
  <c r="G1904"/>
  <c r="J1850"/>
  <c r="G1850"/>
  <c r="J1781"/>
  <c r="G1781"/>
  <c r="J1665"/>
  <c r="G1665"/>
  <c r="J1603"/>
  <c r="G1603"/>
  <c r="J1590"/>
  <c r="G1590"/>
  <c r="J1534"/>
  <c r="G1534"/>
  <c r="J1498"/>
  <c r="G1498"/>
  <c r="J1111"/>
  <c r="G1111"/>
  <c r="J1110"/>
  <c r="G1110"/>
  <c r="J1002"/>
  <c r="G1002"/>
  <c r="J995"/>
  <c r="G995"/>
  <c r="J957"/>
  <c r="G957"/>
  <c r="J951"/>
  <c r="G951"/>
  <c r="J950"/>
  <c r="G950"/>
  <c r="J933"/>
  <c r="G933"/>
  <c r="J829"/>
  <c r="G829"/>
  <c r="J827"/>
  <c r="G827"/>
  <c r="J758"/>
  <c r="G758"/>
  <c r="J704"/>
  <c r="G704"/>
  <c r="J694"/>
  <c r="G694"/>
  <c r="J642"/>
  <c r="G642"/>
  <c r="J641"/>
  <c r="G641"/>
  <c r="J635"/>
  <c r="G635"/>
  <c r="J42"/>
  <c r="J41"/>
  <c r="G41"/>
  <c r="J40"/>
  <c r="G40"/>
  <c r="J39"/>
  <c r="G39"/>
  <c r="J38"/>
  <c r="G38"/>
  <c r="J37"/>
  <c r="G37"/>
  <c r="J36"/>
  <c r="G36"/>
  <c r="J35"/>
  <c r="G35"/>
  <c r="J34"/>
  <c r="G34"/>
  <c r="J33"/>
  <c r="G33"/>
  <c r="J32"/>
  <c r="G32"/>
  <c r="J31"/>
  <c r="G31"/>
  <c r="J30"/>
  <c r="G30"/>
  <c r="J29"/>
  <c r="G29"/>
  <c r="J28"/>
  <c r="G28"/>
  <c r="J27"/>
  <c r="G27"/>
  <c r="J26"/>
  <c r="G26"/>
  <c r="J25"/>
  <c r="J24"/>
  <c r="J23"/>
  <c r="G23"/>
  <c r="J22"/>
  <c r="G22"/>
  <c r="J21"/>
  <c r="G21"/>
  <c r="J20"/>
  <c r="J19"/>
  <c r="G19"/>
</calcChain>
</file>

<file path=xl/sharedStrings.xml><?xml version="1.0" encoding="utf-8"?>
<sst xmlns="http://schemas.openxmlformats.org/spreadsheetml/2006/main" count="17913" uniqueCount="8987">
  <si>
    <t>Индивидуальный предприниматель Южанинова Н.В.</t>
  </si>
  <si>
    <t>22.07.2026</t>
  </si>
  <si>
    <t>Нижний Новгород, ул. Советская, 20, 1 этаж, оптовый магазин "Семена"</t>
  </si>
  <si>
    <t>www.semena-nn.ru</t>
  </si>
  <si>
    <t>(р-н Московского вокзала, здание рядом с Канавинской автостанцией)</t>
  </si>
  <si>
    <t>тел/факс (831) 246-55-33, сот.  8 - 910 - 144 - 0005</t>
  </si>
  <si>
    <t>Минимальная партия отпускаемого товара  2 000 рублей.</t>
  </si>
  <si>
    <t>Кратность набора 10 …  пакетов одного наименования (деление пачек не производится)</t>
  </si>
  <si>
    <t>ФИО, организация</t>
  </si>
  <si>
    <t>телефон для связи</t>
  </si>
  <si>
    <t>возможна ли замена фирмы производителя</t>
  </si>
  <si>
    <t>возможна ли замена аналогичным товаром</t>
  </si>
  <si>
    <t>когда и как планируете получить заказ</t>
  </si>
  <si>
    <t>Прайс сформирован в алфавитном порядке по культурам. При необходимости, пожалуйста , используйте фильтр для заказов по конкретному  производителю,типу пакета (НАПРИМЕР, выбирая в графе ФИРМА слово "Аэлита", Вы получаете весь ассортимент</t>
  </si>
  <si>
    <t>* б/п - простой "белый" пакет, ц/п - "цветной" пакет с красочным слайдом, лента - семена на ленте, драж - дражжированные семена</t>
  </si>
  <si>
    <t>Штрих-код</t>
  </si>
  <si>
    <t>Наименование товаров</t>
  </si>
  <si>
    <t>Свойство</t>
  </si>
  <si>
    <t>Фирма</t>
  </si>
  <si>
    <t>Тип пакета</t>
  </si>
  <si>
    <t>Описание</t>
  </si>
  <si>
    <t>Фото</t>
  </si>
  <si>
    <t>Оптовая</t>
  </si>
  <si>
    <t>Заказ</t>
  </si>
  <si>
    <t>Сумма заказа</t>
  </si>
  <si>
    <t>Буклеты, газеты, журналы, плакаты</t>
  </si>
  <si>
    <t>Пособие виноградаря</t>
  </si>
  <si>
    <t>Посадочный материал</t>
  </si>
  <si>
    <t>Семена Алтая</t>
  </si>
  <si>
    <t>Методическое пособие по посадке и выращиванию винограда.</t>
  </si>
  <si>
    <t>Весовые семена</t>
  </si>
  <si>
    <t>2009010006345</t>
  </si>
  <si>
    <t>Горчица белая 1 кг. (меш. 25кг ) (без скидок)</t>
  </si>
  <si>
    <t>Газон, травосмеси, сидераты</t>
  </si>
  <si>
    <t>Зеленый уголок</t>
  </si>
  <si>
    <t>Однолетнее масленичное растение, популярное в производстве меда и обработке сельскохозяйственных земель. Горчица используется как сидерат для грунта – высвобождает в почве труднорастворимые фосфаты и другие полезные элементы для будущего выращивания других культур.</t>
  </si>
  <si>
    <t>4607126908577</t>
  </si>
  <si>
    <t>Горчица белая 1кг (АГРОУСПЕХ)  БЕЗ СКИДОК!</t>
  </si>
  <si>
    <t>ЛЕТТО</t>
  </si>
  <si>
    <t>пак.</t>
  </si>
  <si>
    <t>Быстрорастущее однолетнее растение семейства крестоцветных. Ценится за наибольшую способность быстро прорастать и наращивать относительно большую массу в короткий холодный период. Один из самых холодоустойчивых сидератов. Зеленое удобрение.</t>
  </si>
  <si>
    <t>4607126908614</t>
  </si>
  <si>
    <t>Рапс яровой 0,5 кг АГРОУСПЕХ</t>
  </si>
  <si>
    <t>Однолетнее растение семейства крестоцветных. Выращивают как предшественник рассадных культур. Обогащает почву органическим веществом, фосфором и серой. Разрыхляет и структурирует почву, повышает ее воздухо- и влагоемкость. Защищает почву от водной и ветровой эрозии.</t>
  </si>
  <si>
    <t>ГАЗОННЫЕ ТРАВЫ, травосмеси</t>
  </si>
  <si>
    <t>Газоны Зеленый уголок</t>
  </si>
  <si>
    <t>4660001297579</t>
  </si>
  <si>
    <t>Газон "ЭКСПРЕСС" 2,5 кг Зелёный уголок</t>
  </si>
  <si>
    <t>уп.</t>
  </si>
  <si>
    <t>Состав: Райграс однолетний 30%, Тимофеевка луговая 40%, Райграс пастбищный 30%</t>
  </si>
  <si>
    <t>4660001290938</t>
  </si>
  <si>
    <t>Травосмесь "Город-сад" 1 кг Зелёный уголок</t>
  </si>
  <si>
    <t>Состав: Райграс многолетний 40%, Тимофеевка 40%, Овсяница луговая 20%.</t>
  </si>
  <si>
    <t>4660001290945</t>
  </si>
  <si>
    <t>Травосмесь "Город-сад" 5 кг Зелёный уголок</t>
  </si>
  <si>
    <t>4660001294417</t>
  </si>
  <si>
    <t>Травосмесь "Детская Игровая" 2,5 кг Зелёный уголок</t>
  </si>
  <si>
    <t>Состав: Райграс многолетний 30%, Овсяница луговая 20%, Овсяница красная 10%, Клевер белый 5%, Тимофеевка луговая 25%, Мятлик луговой 10%. Экологически сбалансированная травосмесь. Идеально подходит для детских игровых площадок. Благодаря наличию в составе белого клевера не требует внесения азотных удобрений. Высота скашивания 4-5 см, норма высева 3-5 кг на 100 м2.</t>
  </si>
  <si>
    <t>4660001297180</t>
  </si>
  <si>
    <t>Травосмесь "Засухоустойчивая" 2,5 кг Зелёный уголок 447707988</t>
  </si>
  <si>
    <t>Состав: Райграс пастбищный 35%, Овсяница луговая 15%, Тимофеевка луговая 15%, Райграс однолетний 35%,</t>
  </si>
  <si>
    <t>4660001291058</t>
  </si>
  <si>
    <t>Травосмесь "Садово-парковая" 1 кг Зелёный уголок</t>
  </si>
  <si>
    <t>Состав: Райграс пастбищный 20%, Овсяница луговая 30%, Тимофеевка луговая 50%.</t>
  </si>
  <si>
    <t>4660001291072</t>
  </si>
  <si>
    <t>Травосмесь "Садово-парковая" 10 кг Зелёный уголок</t>
  </si>
  <si>
    <t>4660001291089</t>
  </si>
  <si>
    <t>Травосмесь "Садово-парковая" 20 кг Зелёный уголок</t>
  </si>
  <si>
    <t>4660001291133</t>
  </si>
  <si>
    <t>Травосмесь "Спортивная" 1 кг Зелёный уголок</t>
  </si>
  <si>
    <t>Состав: Райграс многолетний 20%. Овсяница луговая 30%. Овсяница красная 10%. Тимофеевка луговая 30%. Мятлик луговой 10%.</t>
  </si>
  <si>
    <t>4660001291157</t>
  </si>
  <si>
    <t>Травосмесь "Спортивная" 10 кг Зелёный уголок</t>
  </si>
  <si>
    <t>4660001294486</t>
  </si>
  <si>
    <t>Травосмесь "Спортивная" 2,5 кг Зелёный уголок 452627954</t>
  </si>
  <si>
    <t>4660001291164</t>
  </si>
  <si>
    <t>Травосмесь "Спортивная" 20 кг Зелёный уголок</t>
  </si>
  <si>
    <t>4660001290976</t>
  </si>
  <si>
    <t>Травосмесь "Универсальная" 1 кг Зелёный уголок</t>
  </si>
  <si>
    <t>Состав: Райграс многолетний 30%, Овсяница луговая 30%, Тимофеевка луговая 30%, Овсяница красная 10%.</t>
  </si>
  <si>
    <t>4660001290990</t>
  </si>
  <si>
    <t>Травосмесь "Универсальная" 10 кг Зелёный уголок</t>
  </si>
  <si>
    <t>4660001294509</t>
  </si>
  <si>
    <t>Травосмесь "Универсальная" 2,5 кг Зелёный уголок</t>
  </si>
  <si>
    <t>4660001290983</t>
  </si>
  <si>
    <t>Травосмесь "Универсальная" 5 кг Зелёный уголок</t>
  </si>
  <si>
    <t>Картофель</t>
  </si>
  <si>
    <t>Поиск</t>
  </si>
  <si>
    <t>Декоративные кустарники и деревья</t>
  </si>
  <si>
    <t>4620004040305</t>
  </si>
  <si>
    <t>Огурец Аполлон (Аст) 305583591</t>
  </si>
  <si>
    <t>Огурец</t>
  </si>
  <si>
    <t>Агросемтомс</t>
  </si>
  <si>
    <t>ц/п</t>
  </si>
  <si>
    <t>Партенокарпический («самоопыляемый») огурец. Даёт высокий урожай, как в теплице, так и в открытом грунте. Очень удобно выращивать его в вертикальном исполнении потому, что у него слаборазвиты боковые побеги. По этой причине Аполлон – идеален для озеленения садовых беседок, ротонд и пр. Красивая мощная листва и не менее красивые плоды удивят ваших гостей закуской, растущей прямо в зоне отдыха. Огурец Аполлон – скороспелый. От всходов до первых зеленцов 39 – 42 дней. В каждой пазухе образуется по одной завязи, одновременно на растении наливается по 8 – 10 плодов длиной 13-15 см. Отличается дружной, массовой отдачей урожая. Плод без горечи, цилиндрической формы, окраска интенсивно зелёная, бугорки крупные, редко расположенные, с белыми шипами. Плоды сочные, ароматные, хрустящие, особенно хороши в салатах. Пригодны для консервирования и заморозки.</t>
  </si>
  <si>
    <t>4620004040466</t>
  </si>
  <si>
    <t>Огурец Арлекино (Аст) 305583592</t>
  </si>
  <si>
    <t>Партенокарпический («самоопыляемый») огурец. Растение светолюбивое, среднерослое, со средней степенью ветвления. Арлекино – скороспелый огурец, первые зеленцы появляются на 36–38 день от всходов. Даёт впечатляющие урожаи, как в теплице, так и в открытом грунте. Зеленцы расположены пучками, по 2–3 штуки в узле. Зеленцы Арлекино цилиндрической формы, окраска их тёмно-зелёная, насыщенная. Величина зрелого плода 14–16 см, бугорки среднего размера, распределены равномерно, шипы белые. Вкусовые качества зеленцов – потрясающие. Плоды хрустящие, сочные, при правильном засоле –  не образуют пустот внутри. Горечь отсутствует при любых условиях.</t>
  </si>
  <si>
    <t>4620004041128</t>
  </si>
  <si>
    <t>Огурец Армада (Аст) 623064244</t>
  </si>
  <si>
    <t>Партенокарпический («самоопыляемый»), опылитель ему не нужен. Все цветки на растении – женского типа. Урожайность высокая, как в теплице, так и в открытом грунте. Теневынослив, неприхотлив.
Скороспелый. От всходов до первых плодов 34–36 дней. Зеленцы располагаются пучками. В узле обычно бывает от 3-х и более зеленцов. Сами плоды огурца Армада цилиндрической формы, аккуратные и красивые. Длина спелого плода 11–13 см. Окраска зеленцов тёмно-зелёная. Поверхность имеет опушение и мелкие бугорки. Шипы белые. Огурец Армада отличается очень сильным ароматом и насыщенным, ярким вкусом. Такой огурчик просто незаменим для салатов и различных заготовок.</t>
  </si>
  <si>
    <t>4620004040435</t>
  </si>
  <si>
    <t>Огурец Волжский (Аст) 305583582</t>
  </si>
  <si>
    <t>Огурец Волжский можно выращивать где угодно, он партенокарпический («самоопыляемый») и теневыносливый. Парники, теплицы, открытый грунт, балконы – всюду Волжский принесёт богатый урожай. И начнётся тот урожай уже на 34-36 день от появления всходов, настолько этот огурец скороспелый. Огурец Волжский – пучкового, букетного типа плодоношения. Зеленцы располагаются по 3–4 и более штук в узле. Зеленцы цилиндрической формы, окраска тёмно-зелёная, с более светлыми полосками. Длина плода 10–13 см. Поверхность зеленца с белыми шипами, имеет средние бугорки по всему плоду. Засолочные и вкусовые качества очень высокие. Скороспелый и урожайный. Неприхотливый и качественный. Имеет устойчивость к основным болезням огурца.</t>
  </si>
  <si>
    <t>4620004040329</t>
  </si>
  <si>
    <t>Огурец Вятский (Аст) 305583590</t>
  </si>
  <si>
    <t>Скороспелый, высокоурожайный, универсальный партенокарпический гибрид женского типа цветения для выращивания в защищенном и открытом грунте. От всходов до плодоношения 34-36 дней (плодоносит до глубокой осени). Зеленцы расположены по 1-2 штуки в узле, плод без горечи, цилиндрической формы, окраска интенсивно-зеленая с белыми полосками. Длина плода до 12-15 см.</t>
  </si>
  <si>
    <t>4620004041104</t>
  </si>
  <si>
    <t>Огурец Казанский (Аст)</t>
  </si>
  <si>
    <t>Партенокарпический («самоопыляемый») огурец. Отличается завидной скороспелостью. Первые плоды появляются на 33–35 день от всходов. Плоды цилиндрической формы, очень красивые, тёмно-зелёной окраски, без выраженных полосок. Длина плода до 12-14 см. Поверхность зеленца с белыми шипами, имеет средние бугорки по всему плоду. Зеленцы расположены пучками, по 3-5 штук в узле.
Вкус зеленца – потрясающий. В нём абсолютно отсутствует горечь, а сложный минеральный состав огуречного сока позволяет полностью раскрыться вкусу в салатах и всевозможных заготовках.</t>
  </si>
  <si>
    <t>4620004040299</t>
  </si>
  <si>
    <t>Огурец Миранда (Аст) 305583586</t>
  </si>
  <si>
    <t>Высокоурожайный скороспелый, универсальный, партенокарпический («самоопыляемый»), женского типа цветения. Прекрасно растёт и плодоносит, как в теплице, парнике, так и в открытом грунте. От всходов до плодоношения 36–38 дней. Плоды Миранды цилиндрической формы, окраска их ярко-зелёная со светлыми полосками. Бугорки средние, с белыми шипами, распределены равномерно по поверхности зеленца. В каждом узле формируется по 1-2 зеленца, длиной до 11-12 см. Плоды сочные, ароматные, хрустящие, хороши как в салатах, так в засоле и для любой переработки. Горечь в плодах отсутствует полностью. Уникальность плодов Миранды – в их длительном хранении (5-6 дней без потери тургора) и в хорошей транспортабельности.</t>
  </si>
  <si>
    <t>4620004040312</t>
  </si>
  <si>
    <t>Огурец Молодец (Аст) 305583587</t>
  </si>
  <si>
    <t>Ярко выраженная партенокарпия (самоплодность) позволяет выращивать Молодца и в теплице, и в открытом грунте. Скороспелый огурец, от всходов до плодоношения 35–38 дней. В узлах формируется до трёх завязей, что позволяет получать равномерный урожай в течение всего сезона. Плоды имеют редкие небольшие бугорки по всей поверхности и белые шипы. Окраска – тёмно-зелёная, с неярко выраженными светлыми полосами у вершинки. Длина зеленца 11–13 см. Вкус – идеально сбалансированный, аромат – сильный. Прекрасны в свежем виде, вкусны в засоле и в маринаде.</t>
  </si>
  <si>
    <t>4620004041111</t>
  </si>
  <si>
    <t>Огурец Уралец (Аст) 305583588</t>
  </si>
  <si>
    <t>Скороспелый партенокарпический («самоопыляемый») огурец преимущественно с женскими цветками. Теневынослив. Огурец Уралец можно выращивать, как в теплице, так и в открытом грунте, так и на балконе, в качестве горшечной культуры. От всходов до плодоношения 35-36 дней. Уралец – огурец букетного типа плодоношения. Зеленцы расположены пучками, по 3–4 штуки в узле. Поверхность зеленца имеет опушение и мелкие белые шипы. Бугорки мелкие, расположены плотно. Плоды Уральца без горечи при любых условиях выращивания, цилиндрической формы, окраска насыщенная темно-зелёная. Длина плода до 10–12 см. Вкуснейшие и ароматные, они прекрасны и в свежих салатах, и сохраняют аппетитный хруст при засолке и мариновании.</t>
  </si>
  <si>
    <t>4620004040398</t>
  </si>
  <si>
    <t>Огурец Чародей (Аст) 305583593</t>
  </si>
  <si>
    <t>Партенокарпический («самоопыляемый»), светолюбивый и ультраранний. Настолько, что пока торговцы южными огурцами ещё только начинают прокладывать маршруты, чтоб продать нам огурцы, в северных регионах огурец Чародей уже начинают солить. Потому, что очень много наросло. Ведь от всходов до плодоношения у Чародея всего 33–35 дней. Плод без горечи, цилиндрической формы, окраска светло-зелёная с белыми полосками и белым носиком. Поверхность плода бугорчатая, с белыми шипами. Зеленцы расположены пучками, 2–3 штуки в узле. Длина плода огурца Чародей 11–13 см. Мякоть плотная, хрустящая, великолепен в засоле и свежем виде. Огурец Чародей устойчив к перепадам температур и неблагоприятным погодным условиям, приспособлен для выращивания в даже северных регионах.</t>
  </si>
  <si>
    <t>4620004040442</t>
  </si>
  <si>
    <t>Огурец Чебоксарец (Аст) 305583589</t>
  </si>
  <si>
    <t>Скороспелый огурец. От всходов до плодоношения 35–36 дней. Чебоксарец – партенокарпический («самоопыляемый») огурец, для его опыления пчёлы не нужны, поэтому он способен завязываться, как в открытом грунте, так и в теплице, и в комнатных условиях. И он остаётся высокоурожайным в любых условиях! Ведь в каждом узле плети располагается по три и более завязи, которые при надлежащей агротехнике дают вкуснейшие плоды. Чебоксарец – некрупный огурец. Длина зеленца 10-12 см, форма – цилиндрическая. Поверхность плода имеет опушение и мелкие белые шипы. Бугорки мелкие, плотные, расположены равномерно и часто. Окраска плода – тёмно-зелёная, насыщенная. Мякоть – белая, с сильным ароматом. Вкус – яркий, изумительный, как в засоле, так и в свежем виде.</t>
  </si>
  <si>
    <t>4620004040336</t>
  </si>
  <si>
    <t>Огурец Шик (Аст) 305583583</t>
  </si>
  <si>
    <t>Высокоурожайный партенокарпический («самоопыляемый»), светолюбивый. Специально сделан среднеранним, ведь он великолепен в засоле. Поэтому, в плодоношение вступает на 43–45 день от всходов. Даёт стабильный богатый урожай, что в теплицах, что в открытом грунте. Плоды цилиндрической формы, окраска светло-зелёная, с чуть заметными светлыми полосками. Поверхность зеленца среднебугорчатая, с черными шипами. Сами зеленцы располагаются по 1–3 штуки в каждом узле. Длина плода 12 – 14 см. Если же вы предпочитаете пятисантиметровые корнишоны – просто срывайте плоды именно такого размера, какой вам требуется. Даже в этом случае они будут значительно вкуснее большинства корнишонных сортов. Вкуснее не только в свежем виде, но и в засоле, и в маринаде.</t>
  </si>
  <si>
    <t>4620004040978</t>
  </si>
  <si>
    <t>Перец Александрит (Аст) 304925111</t>
  </si>
  <si>
    <t>Перец</t>
  </si>
  <si>
    <t>Приспособлен для выращивания в зонах рискованного земледелия. Ультраранний, для выращивания в весенних теплицах, а также в открытом грунте. Период созревания от всходов до технической спелости 95-110 дней. Растение полуштамбовое, сомкнутое, высокое, интенсивно растет и непрерывно плодоносит. При соблюдении правильной агротехники в теплице достигает высоты 1,2-1,5 м, в открытом грунте до 70 см. Плод узкотрапециевидной формы, в технической спелости светло-зеленый, в биологической - красный. Средняя масса плода 130-150 г, толщина стенки - 6-8 мм. Неприхотлив, имеет хорошую завязываемость плодов при неблагоприятных погодных условиях. Отличается высоким содержанием сухого вещества, витамина С и сахаров. Гибрид адаптирован к перепадам температур и пониженной освещенности, приспособлен для выращивания в северных регионах. Имеет устойчивость к вершинной гнили.</t>
  </si>
  <si>
    <t>4620004041081</t>
  </si>
  <si>
    <t>Перец Астрэль (Аст) 305072843</t>
  </si>
  <si>
    <t>Среднеранний, крупноплодный сорт для стеклянных (поликарбонатных) и пленочных теплиц. Растение высокорослое. Вегетационный период от всходов до технической спелости 115-125 дней. Плоды крупные, красивые, узкотреугольной (хоботовидной) формы, длиной 22–25 см, в технической спелости окраска темно-зеленая, в биологической красная. Средняя масса плода 60-80 г. Сорт высокоурожайный, с непрерывным плодоношением, высокой товарностью и хорошими вкусовыми качествами, нежным, приятным ароматом.</t>
  </si>
  <si>
    <t>4620004040145</t>
  </si>
  <si>
    <t>Перец Пилигрим (Аст) 304897847</t>
  </si>
  <si>
    <t>Крупноплодный, среднеранний (от всходов до созревания 115–120 дней) перец Пилигрим стоит выращивать исключительно в теплицах (любого типа). Именно там он раскроет весь свой потенциал. При правильной агротехнике, урожайность перца Пилигрим может достигать 18–19 кг/кв.м. Плоды Пилигрима толстостенные (толщина стенки до 8 мм), очень крупные (до 200 г), очень вкусные (высокое содержание сахаров) и очень полезные (повышенное содержание витаминов и флавоноидов). В технической спелости цвет – тёмно-зелёный, в биологической – ярко-красный. Сами плоды отличаются красотой и высокой товарностью.</t>
  </si>
  <si>
    <t>4620004040121</t>
  </si>
  <si>
    <t>Перец Пламенный (Аст)</t>
  </si>
  <si>
    <t>Один из самых ранних гибридов  для выращивания в стеклянных и плёночных теплицах, а также в открытом грунте. Период созревания от всходов до технической спелости 95-110 дней. Растение штамбовое, сомкнутое, высокое, интенсивно растёт и непрерывно плодоносит. Плод трапециевидной формы, в технической спелости зелёный, в биологической – красный. Средняя масса плода 100-120 г, толщина стенки 5-6 мм. Сорт ценится за высокий стабильный урожай и быстрое достижение биологической спелости. Устойчив к вирусу табачной мозаики. Отличается высоким содержанием сухого вещества, витамина С и сахаров. В производственных условиях урожайность 9-14 кг/м2.</t>
  </si>
  <si>
    <t>4620004040992</t>
  </si>
  <si>
    <t>Томат Аксанта (Аст) 305471744</t>
  </si>
  <si>
    <t>Томат</t>
  </si>
  <si>
    <t>Ранний, от всходов до первых плодов 93–97 дней. Растение компактное, высотой 50–70 см. Все плоды выровненные, круглые, гладкие, многокамерные. Вес плодов 120–150 г (отдельные плоды могут достигать 200 г). Вкус этих красивых томатов нравится и взрослому, и ребёнку. Их можно использовать и в салатах, и во всевозможных заготовках. Но особенно удивительным будет томатный сок необычного цвета, но с изумительным вкусом. Особенность томата в том, что столь ранние сроки созревания, позволяют собрать урожай до поражения фитофторозом! При выращивании на чёрном укрывном материале не требует никакой подвязки. При соблюдении агротехники, с одного растения можно собрать до 4 кг помидор.</t>
  </si>
  <si>
    <t>4620004040053</t>
  </si>
  <si>
    <t>Томат Барон (Аст) 305471731</t>
  </si>
  <si>
    <t>Изумительного вкуса томат, раннего срока созревания (105–115 дней). Особенность томата в том, что плод при поперечном разрезе имеет ярко-красную мякоть, что делает его незаменимым компонентом любого салата. Плоды крупные, ровные, круглые, красные. Средний вес плода 180–210 г. А в конце августа – в сентябре из созревших плодов можно сделать замечательные заготовки, ведь при термической обработке яркий цвет томата Барон не пропадает и вкус не ухудшается. В теплице растение может вырасти до 150 см высотой, в открытом грунте – несколько ниже. Устойчивость к вирусу табачной мозаики, кладоспориозу (бурой пятнистости), фузариозу, вертициллезу, его неприхотливость и способность завязывать плоды в неблагоприятных условиях позволяет собирать замечательный урожай до глубокой осени!</t>
  </si>
  <si>
    <t>4620004040022</t>
  </si>
  <si>
    <t>Томат Виконт (Аст) 305471724</t>
  </si>
  <si>
    <t>Среднеранний гибрид детерминантного типа роста (до 130 см) для выращивания в открытом грунте, простых укрытиях и теплицах. Растение компактное, со слабой побегообразующей способностью. Плоды округлые, плотные, сочные, красные. Отличается хорошими вкусовыми качествами. Средняя масса плода 130-160 г.</t>
  </si>
  <si>
    <t>4620004040114</t>
  </si>
  <si>
    <t>Томат Вятич (Аст) 305471727</t>
  </si>
  <si>
    <t>Ранний, от всходов до созревания 110 дней. Высокорослый (индетерминантный). Отличается компактной корневой системой, поэтому кроме теплицы и открытого грунта Вятич можно выращивать в вазонах, мешках на балконе или на приусадебном участке. Плоды собраны в красивые кисти по 5–6 штук. Кисти формируются весь сезон через каждые 3 листа. Созревание плодов в кисти идёт практически одновременно, что позволяет уменьшить трудозатраты по сбору урожая. Плоды ярко-красные, ровные, округлые, средняя масса 150-170 г. Кожица гладкая, глянцевая, прочная, не склонная к растрескиванию. Собранные плоды хорошо хранятся и транспортируются. Вкус плодов великолепен, как в свежем виде, так и в консервировании.</t>
  </si>
  <si>
    <t>4620004040015</t>
  </si>
  <si>
    <t>Томат Гунин (Аст) 305471745</t>
  </si>
  <si>
    <t>Раннеспелый. Срок созревания первых плодов 105–110 дней. В кисти обычно 5 или более округлых, ровных плодов насыщенного красного цвета. Плоды гладкие, плотные, сочные. Средняя масса каждого около 120 г. Плоды обладают особыми вкусовыми качествами, великолепны в свежем виде, томатных соках и засоле. Растение томата высотой 120–130 см, со слабой побегообразующей способностью, компактное (в открытом грунте – чуть ниже). Кроме комплексной устойчивости к болезням, томат Гунин прекрасно адаптирован и к неблагоприятным погодным условиям.</t>
  </si>
  <si>
    <t>4620004040930</t>
  </si>
  <si>
    <t>Томат Корнет (Аст) 305471783</t>
  </si>
  <si>
    <t>Ровные, средних размеров плоды Корнета не только вкусны, но и чрезвычайно полезны для здоровья, благодаря высокому содержанию антиоксидантов. Ультраранний, невысокий (до 50 см) томат детерминантного типа роста. От всходов до созревания всего 85–87 дней. Прекрасно растёт в открытом грунте и в простых плёночных укрытиях. Растение очень компактное, все дополнительные побеги переходят в кисти. Растение равномерно всё лето цветёт и завязывает плоды. Корнет – высокоурожайный томат, на каждой кисти поспевает от 3 до 5 красных, плотных, очень сочных плодов Каждый плод весит около 110-120 г.</t>
  </si>
  <si>
    <t>4620004040374</t>
  </si>
  <si>
    <t>Томат Маяк (Аст) 305471748</t>
  </si>
  <si>
    <t>Высокорослый томат, в теплице вырастет выше двух метров. Если выращивать его в открытом грунте, то можно либо прищипнуть верхушку над 3–4 кистью, либо выращивать на вертикальном шпагате, прикрепленном, например, к беседке или к южной стене. Маяк адаптирован к неблагоприятным погодным условиям и будет до поздней осени радовать вас изысканным десертом. Маяк – скороспелый томат, первые плоды созревают уже на 95 день после всходов. Плоды яркие, массой 25–30 г, округлые, необычайно вкусные. Кожица плода тонкая, нежная, поэтому в момент созревания плодов нужно ограничить растение в поливе. Устойчив к бурой пятнистости и вирусу табачной мозаики.</t>
  </si>
  <si>
    <t>4620004041029</t>
  </si>
  <si>
    <t>Томат Наслаждение (Аст) 305471759</t>
  </si>
  <si>
    <t>Раннеспелый гибрид (100–110 дней от всходов до созревания) салатного типа. Приспособлен для выращивания в защищённом грунте, в открытом грунте обязательна подвязка к кольям и прищипывание верхушки. В кисти наливается пять - семь многокамерных плодов изумительного оранжевого цвета, массой 120–140 г. Мякоть плода плотная, «мясистая», приятного вкуса, с высоким содержанием сахаров.</t>
  </si>
  <si>
    <t>4620004041050</t>
  </si>
  <si>
    <t>Томат Наставник (Аст) 305471786</t>
  </si>
  <si>
    <t>Считается, что крупных томатов на кусте много не бывает. Наставник легко опровергает это ошибочное мнение. В каждой его кисти завязывается по пять – семь ровных, круглых, крупных плодов. А плодоносит Наставник весь сезон, невзирая даже на неблагоприятные погодные условия. Растение высокорослое, индетерминантого типа роста, но вполне может выращиваться и в открытом грунте с обязательным прищипыванием верхушки, ведь Наставник раннеспелый томат и первые плоды созревают на 100–110 день от всходов. Плоды ярко-красные, около 200 г, с плотной вкуснейшей мякотью, с высоким содержанием сахаров и полезного ликопина.</t>
  </si>
  <si>
    <t>4620004040039</t>
  </si>
  <si>
    <t>Томат Натус (Аст) 305471749</t>
  </si>
  <si>
    <t>Раннеспелый, от всходов до первых плодов – около 110 дней. Плод томата Натус очень красив. Красный, глянцевый, плоскоокруглый. Он словно создан для того, чтоб его покрошили в салат! Сладкий, с незабываемым ароматом, очень мясистый. Средний вес плода 120–150 г. Плодоносит так, что с одного растения каждое утро можно приготовить салаты на большую семью. Да и в различных заготовках томат Натус не потеряет свой вкус. Из него можно приготовить изумительный томатный сок, а лечо со сладким перцем Леро (именно в таком сочетании) запомнится своим удивительным вкусом и ароматом. Растение полудетерминатного типа роста, в теплице его высота может достигать 130 см, в открытом грунте – чуть ниже. Куст компактный. Томат Натус устойчив к вирусу табачной мозаики, кладоспориозу и фузариозу.</t>
  </si>
  <si>
    <t>4620004040411</t>
  </si>
  <si>
    <t>Томат Паладин (Аст) 305471756</t>
  </si>
  <si>
    <t>Томат индетерминантного типа роста, в теплице может вырасти до 2–3 м. В открытом грунте необходима высокая подвязка. Томат скороспелый, от всходов до первых плодов 110–115 дней. Паладин приспособлен для выращивания при неблагоприятных погодных условиях, адаптирован к пониженным температурам. Плоды крупные, округлые, ярко-красные, плотные и многокамерные. Масса плода 140-170 г. Вкус плодов – просто замечательный! Они великолепны и в салате, и в заготовках сохраняют свою природную плотность. Плоды Паладина можно хранить при комнатной температуре (на антресоли) до Нового года. Аромат и вкус плодов при хранении не теряется.</t>
  </si>
  <si>
    <t>4620004040350</t>
  </si>
  <si>
    <t>Томат Садко (Аст) 305471757</t>
  </si>
  <si>
    <t>Ранний высокорослый томат Садко относится к томатам салатного типа. Необычайно сладкий и внешне красивый, он рекомендован для большинства людей с аллергией на томаты. Первые плоды появляются через 100–110 дней после всходов. Плоды средних размеров, ровные, округлые, массой 120–140 г. Мякоть плода очень нежная, изумительного вкуса и янтарного цвета. Садко хорош не только в салатах. Из него получается очень полезный, необычного цвета томатный сок и даже хренодёр, которым можно удивить всех. А по содержанию аскорбиновой кислоты в плодах, его можно сравнить со средней аптекой. Садко – неприхотливый томат и способен завязываться даже при неблагоприятных погодных условиях. При выращивании его в открытом грунте, требуется обязательная подвязка к колышку и прищипывание верхушки над 3–4 кистью.</t>
  </si>
  <si>
    <t>4620004040060</t>
  </si>
  <si>
    <t>Томат Семейный (Аст) 305471758</t>
  </si>
  <si>
    <t>Ранний гибрид для выращивания в защищённом грунте.  В любительском овощеводстве можно высаживать в открытом грунте.  Плоды округлые хорошо накапливают ликопин, плотные, мясистые с хорошими вкусовыми качествами, многокамерные. В технической спелости у плодоножки имеется тёмно-зелёное пятно, в биологической пятно исчезает, окраска становится  ярко красной. Масса плода  190-220 г. при  дополнительных подкормках в течение вегетации плоды  достигают 350 г.</t>
  </si>
  <si>
    <t>4620004041166</t>
  </si>
  <si>
    <t>Томат Снаряд (Аст)</t>
  </si>
  <si>
    <t>Снаряд – не только салатный гибрид, он великолепен и в засоле, и в сушке (вялении), и в заморозке. Для любых блюд и всех видов заготовок прекрасно подходят плоды этого гибрида. Снаряд удобно транспортировать. И это несмотря на то, что в плодах нет жёстких волокон. Снаряд удобно хранить. Плоды сохраняются значительно более месяца, если их снимать вместе с чашелистиками (или целыми кистями). Снаряд – высокорослый (индетерминантный) среднеспелый томат. От всходов до созревания плодов 105 – 115 дней. Растение интенсивно растёт, первое соцветие закладывается над 9 листом, остальные через три листа. На кистях формируется от 6 до 9 достаточно крупных, ярких плодов средней массой 130 – 140 г.</t>
  </si>
  <si>
    <t>4620004040459</t>
  </si>
  <si>
    <t>Томат Умелец (Аст) 305471723</t>
  </si>
  <si>
    <t>Очень ранний (от всходов до первых плодов – 95 дней), высокорослый Умелец можно выращивать и в открытом грунте, прищипывая у него верхушку над 3–4 кистью. А можно и декорировать им садовую беседку или ротонду, натянув шпагат от корней растения до самой крыши. Тогда у вас получится красивая и вкусная портьера. Плоды Умельца, вкусные, ароматные не склонны к растрескиванию при изменениях водного режима. Ярко-красные, чуть вытянутые, округлые, весом 15–20 г, они собраны в длинные изящные кисти. Вкус у плодов тоже яркий благодаря повышенному содержанию сахаров и витамина С. Адаптирован к неблагоприятным погодным условиям.</t>
  </si>
  <si>
    <t>4620004040381</t>
  </si>
  <si>
    <t>Томат Фантазия (Аст) 305471735</t>
  </si>
  <si>
    <t>Скороспелый десертный, сорт индетерминантного типа роста для выращивания в пленочных и стеклянных теплицах. 90-95 дней от всходов до плодоношения . Растение формируют в один стебель. Плоды вишневидной формы, желто-оранжевого цвета, массой 16 грамм. Особую декоративность придает длинная кисть (может вырасти до 50 см), на которой висят красивые плоды ровной округлой формы. Плоды с высоким содержанием аскорбиновой кислоты и сахаров изумительны в засоле и свежем виде. Имеют тонкую, но крепкую кожицу, идеальную при консервировании. Сорт адаптирован к неблагоприятным погодным условиям, приспособлен для выращивания в северных регионах; устойчив к вирусу табачной мозаики, кладоспориозу (бурой пятнистости).</t>
  </si>
  <si>
    <t>4620004040046</t>
  </si>
  <si>
    <t>Томат Хлыновский (Аст) 305471762</t>
  </si>
  <si>
    <t>Ранний гибрид для выращивания в теплицах. В любительском овощеводстве можно высаживать в открытом грунте. Плоды плоскоокруглые, плотные, мясистые с хорошими вкусовыми качествами, крупные и многокамерные. В технической спелости у плодоножки имеется тёмно-зелёное пятно, в биологической пятно исчезает, окраска становится равномерно-красная. Масса плода  190-220 г. при высоком агрофоне  достигает 350 г.  Гибрид детерминантного типа роста, устойчив к вирусу табачной мозаики, кладоспориозу, фузариозу и вертициллёзу.</t>
  </si>
  <si>
    <t>4620004041067</t>
  </si>
  <si>
    <t>Томат Чепецкий (Аст) 305471761</t>
  </si>
  <si>
    <t>Чудесный розовый томат индетерминантного типа роста (высокорослый), поэтому при выращивании в открытом грунте его верхушку необходимо будет прищипнуть после 3–4 кисти. Томат раннеспелый, от всходов до созревания проходит 100–110 дней. Плоды многокамерные, крупные, массой 200 г. Мякоть плотная, «мясистая», с высоким содержанием сахаров и витаминов. Вкус — даже чуть больше, чем замечательный. Цвет – приятный розовый. Отличается способностью завязывать плоды даже в неблагоприятных условиях, хорошо переносит перепады влажности и температуры</t>
  </si>
  <si>
    <t>4620004040077</t>
  </si>
  <si>
    <t>Томат Энерго (Аст) 305471733</t>
  </si>
  <si>
    <t>Ранний, урожайный, самый пластичный гибрид в России, по результатам Государственной комиссии. Единственный из всех томатов РФ, районирован для всех световых зон России. При любых погодных условиях даёт высокий урожай. Гибрид полудетермиинантного типа роста, для выращивания, как в открытом грунте, так и в теплицах. Плоды округлые, красные, плотные, поверхность гладкая. Средняя масса плода 120-140 г. Вкусовые качества отличные в свежем виде и в засоле. Гибрид устойчив к вирусу табачной мозаики, кладоспориозу (бурой пятнистости) и к двум расам фузариозного увядания.</t>
  </si>
  <si>
    <t>4680206066268</t>
  </si>
  <si>
    <t>Базилик Греческий 0,2 гр. (Алт/ц)</t>
  </si>
  <si>
    <t>Базилик</t>
  </si>
  <si>
    <t>Скороспелый (55-65 дней) сорт. Куст компактный, шарообразной формы, высотой 25-30 см, не нуждается в формировании. Листья зеленые, мелкие, очень ароматные, на вкус - островатые. Используются в свежем виде в салатах, а также в качестве натурального ароматизатора в кулинарии и при консервировании, добавит пикантность любому блюду. Сорт идеально подходит для выращивания в горшках.</t>
  </si>
  <si>
    <t>4680206066251</t>
  </si>
  <si>
    <t>Базилик Мини 0,2 гр. (Алт/ц)</t>
  </si>
  <si>
    <t>Скороспелый (60-70 дней от всходов до цветения) сорт. Куст компактный, высотой 30-40 см, с большим количеством мелких листьев. Листья и стебель зеленые с гвоздичным запахом. Используется в свежем виде в качестве салатной зелени и пряновкусовой добавки, а также натурального ароматизатора в кулинарии и при консервировании.</t>
  </si>
  <si>
    <t>4680206030061</t>
  </si>
  <si>
    <t>Бамия (Окра) Дамские Пальчики 1г (Алт/ц)</t>
  </si>
  <si>
    <t>Экзотическая грядка</t>
  </si>
  <si>
    <t>Среднеспелый (90-115) сорт для выращивания в открытом грунте и пленочных теплицах. Теплолюбивое однолетнее растение высотой до 1 м. На одном растении формируется 9-10 плодов (завязей), в виде зеленых граненых стручков пальцевидной формы (коробочек), в которых заключены семена, длиной 6-15 см. Плоды бамии, содержащие слизистые вещества, белки, углеводы, органические кислоты, витамины и минеральные соли, полезны для профилактики заболеваний желудочно-кишечного тракта, хороши в диетическом питании для больных атеросклерозом и мечтающих похудеть.</t>
  </si>
  <si>
    <t>4680206006929</t>
  </si>
  <si>
    <t>Дайкон Дядя Степа 1 гр. (Алт/ц)</t>
  </si>
  <si>
    <t>Дайкон</t>
  </si>
  <si>
    <t>Среднеспелый холодостойкий сорт, период от полных всходов до технической спелости 72-80 дней. Корнеплод белой окраски, цилиндрической формы, очень длинный, массой 300-400 г. Мякоть белая, сочная, нежная и хрустящая. Используется в свежем виде. Холодостойкая влаголюбивая культура, предпочитает плодородные супесчаные и суглинистые почвы с нейтральной реакцией среды.</t>
  </si>
  <si>
    <t>4630002511912</t>
  </si>
  <si>
    <t>Дайкон Миясиге 1г (Алт/ц)</t>
  </si>
  <si>
    <t>Нежный, сочный, среднеспелый! Сорт с выровненными корнеплодами массой 100-400 г. Кожица тонкая, мякоть очень ароматная, пикантного слабоострого вкуса. Сорт устойчив к цветушности, холодостоек.</t>
  </si>
  <si>
    <t>4680206041937</t>
  </si>
  <si>
    <t>Дайкон Сибирский Гигант 1 гр. (Алт/ц)</t>
  </si>
  <si>
    <t>Богатырский размер и богатый урожай. Среднеспелый сорт для летнего посева с гарантированной отличной урожайностью. Корнеплод белый, цилиндрический, гладкий, легко выдергивается. При правильном соблюдении агротехники и уходе достигает длины до 50 см, диаметра до 10 см, массы 2,5 кг. Мякоть очень сочная, нежная, снежно-белая, плотной консистенции. Вкус хороший, сладковатый, освежающий, без острого привкуса.</t>
  </si>
  <si>
    <t>4680206057983</t>
  </si>
  <si>
    <t>Дыня Шаранте 1 гр. (Алт/ц)</t>
  </si>
  <si>
    <t>Дыня</t>
  </si>
  <si>
    <t>Среднеспелый (80-85 дней от всходов) сорт. Растение плетистое, но компактное. Плоды некрупные, массой 0,8-1,2 кг, уплощенно-шаровидные. Поверхность слабосегментированная, кожица серо-бирюзовая, с фрагментарным тонким сетчатым рисунком. Плоды имеют очень толстую мякоть и компактную семенную камеру. Мякоть оранжево-розового цвета, сочная, хрустящая, но нежная, очень сладкая и ароматная. Сорт характеризуется отличной транспортабельностью и лежкостью.</t>
  </si>
  <si>
    <t>4630043105002</t>
  </si>
  <si>
    <t>Зеленые Витамины для Грызунов 10гр. (Алт/ц)</t>
  </si>
  <si>
    <t>Трава для д/животных</t>
  </si>
  <si>
    <t>Оптимально подобранная злаковая смесь для выращивания в течении всего года свежей зеленой травы для мелких домашних грызунов. Благотворно влияет на их здоровье, стимулирует пищеварение, необходима для получения здорового потомства. Содержит необходимые витамины и микроэлементы, аминокислоты и клетчатку, улучшает самочувствие грызунов. Дают в виде мелко нарезанной свежей зелени или позволяют питомцам самостоятельно отщипывать молодые ростки.</t>
  </si>
  <si>
    <t>4630043113663</t>
  </si>
  <si>
    <t>Зеленые Витамины для любимых Кошек 10гр. (Алт/ц)</t>
  </si>
  <si>
    <t>Отличная добавка к корму любимых питомцев. Выращенная всего за 7-10 дней свежая зелень из смеси семян злаков, содержит полезные микроэлементы, витамины, клетчатку. Повышает иммунитет животного, очищает желудок, придает блеск шерстке. Дают в виде мелко нарезанной свежей зелени или позволяют питомцам самостоятельно отщипывать молодые ростки.</t>
  </si>
  <si>
    <t>4630043104999</t>
  </si>
  <si>
    <t>Зеленые Витамины для Пернатых 10гр. (Алт/ц)</t>
  </si>
  <si>
    <t>Оптимально подобранная злаковая смесь для выращивания в течении всего года свежей зеленой травы для домашних пернатых питомцев. Благотворно влияет на их здоровье, особенно в период кладки и выкармливания птенцов. Содержит необходимые витамины и микроэлементы, аминокислоты и клетчатку, улучшает самочувствие и настроении птиц. Дают в виде мелко нарезанной свежей зелени или позволяют птицам самостоятельно отщипать молодые ростки. Семена высевают в легкую плодородную почву, заглубляя не более чем на 5 мм. Емкость до появления всходов накрывают пленкой и помещают в теплое место. Злаковые травы, семена которых составляют смесь, отличаются быстрым ростом. Примерно через две недели после посева свежая зелень готова к употреблению.</t>
  </si>
  <si>
    <t>4680206065728</t>
  </si>
  <si>
    <t>Земляника Али-Баба ремонтантная 0,03 гр. (Алт./ц)</t>
  </si>
  <si>
    <t>Земляника, клубника</t>
  </si>
  <si>
    <t>Популярный раннеспелый высокоурожайный сорт мелкоплодной земляники голландской селекции. Сорт является ремонтантным, безусым. Кусты среднего размера полураскидистые компактные, до 15 см высотой, покрыты небольшими светло-зелеными листочками с зубчатыми краями. Благодаря холодостойкости обильно плодоносят с июня до самых заморозков. Плоды конической формы красные мелкие, средней массой до 7 г, имеют вкус лесной ягоды и изумительно тонкий аромат. Может выращиваться, как горшечная культура на окне или балконе, а также в подвесных кашпо на террасе, веранде или беседке.</t>
  </si>
  <si>
    <t>4680206060716</t>
  </si>
  <si>
    <t>Земляника Мигнонетт ремонтантная 5 шт. (Алт./ц)</t>
  </si>
  <si>
    <t>Один из самых ароматных сортов: ягоды имеют насыщенный приятный вкус с нотками миндаля и яркий аромат лесной земляники. Плоды небольшие, около 5 г, коническо-округлой формы, ярко-красные. Тип плодоношение ремонтантный – дает урожай в течение всего сезона. Кусты компактные, не образуют усов. Сорт обладает высокой устойчивостью к заболеваниям, хорошо переносит засушливые периоды. Подходит для выращивания в комнатных условиях, на балконах, террасах, подвесных корзинах и контейнерах. Плодоношение в июле-сентябре.</t>
  </si>
  <si>
    <t>4680206039521</t>
  </si>
  <si>
    <t>Кабачок Аппетитный Горшочек 1 гр. (Алт/ц)</t>
  </si>
  <si>
    <t>Кабачок</t>
  </si>
  <si>
    <t>Оригинальный раннеспелый (45-50 дней) урожайный сорт кабачка-цуккини. Куст крупный, мощный, при этом компактный, стебель короткий. Плоды круглой формы темно-зеленые, массой 0,8-1,00 кг. Мякоть очень вкусная, нежная, с небольшим количеством семян.</t>
  </si>
  <si>
    <t>4680206032379</t>
  </si>
  <si>
    <t>Кабачок Для Гриля  2 гр. (Алт/ц)</t>
  </si>
  <si>
    <t>Раннеспелый (49-51 день) сорт. Растение кустовое, компактное. Плоды цилиндрические, массой 0,7- 0,9 кг. Кора тонкая, мякоть белая, сочная, хрустящая, отличных вкусовых качеств.</t>
  </si>
  <si>
    <t>4630043108591</t>
  </si>
  <si>
    <t>Кабачок Усатый Полосатый 2 гр. (Алт/ц)</t>
  </si>
  <si>
    <t>Раннеспелый (40-42 дня) сорт. Растение кустовое, с укороченным главным побегом. Плоды цилиндрические, светло-зеленые с редкими темными полосами, достигают 1 кг, можно снимать плоды массой 0,5 кг (для консервирования). Мякоть кремовая, сочная, плотная. Сорт холодостойкий, лежкий и транспортабельный.</t>
  </si>
  <si>
    <t>4680206032386</t>
  </si>
  <si>
    <t>Кабачок Фаршировочный 2 гр. (Алт/ц)</t>
  </si>
  <si>
    <t>Великолепный среднеранний (46-50 дней) сорт. Растение кустовое. Плоды цилиндрические, гладкие, светло-зеленые, массой 0,7-1,3 кг. Мякоть белая, очень нежная, сочная. Плоды хорошо хранятся и транспортируются. Сорт устойчив к болезням и гнили плодов. Универсального использования, особенно хорош для фаршировки.</t>
  </si>
  <si>
    <t>4680206037022</t>
  </si>
  <si>
    <t>Капуста б/к Сердце буйвола 0,5 гр. (Алт/ц)</t>
  </si>
  <si>
    <t>Капуста б/к</t>
  </si>
  <si>
    <t>Оригинальный среднеспелый (100-105 дней) сорт белокочанной капусты. Кочан средней плотности, конусовидный, массой 1,4-1,6 кг (до 2 кг). Листья нежные, сочные, с высоким содержанием витаминов, минеральных солей и микроэлементов. Сорт устойчив к бактериозу, обладает высокой товарностью, дружным формированием урожая, великолепными вкусовыми качествами в свежем виде.</t>
  </si>
  <si>
    <t>4680206065933</t>
  </si>
  <si>
    <t>Капуста б/к Сибирская Пирамида 0,5 гр. (Алт/ц)</t>
  </si>
  <si>
    <t>Великолепный раннеспелый сорт (98-105 дней). Кочан плотный, конусовидный, массой до 2 кг, не растрескивается. Сорт отличается дружной отдачей раннего урожая, замечательным вкусом свежей продукции. Прекрасно подходит для салатов, всех видов кулинарной обработки и засолки. Устойчив к комплексу заболеваний.</t>
  </si>
  <si>
    <t>4680206065490</t>
  </si>
  <si>
    <t>Капуста б/к Сибирский Гигант 0,3 гр. (Алт/ц)</t>
  </si>
  <si>
    <t>Позднеспелый (130-140 дней) урожайный сорт с крупными отборными  кочанами, которые при правильном уходе и соблюдении агротехники достигают массы 15 кг. Кочаны округлые или плоскоокруглые, выравненные, плотные, на разрезе белые, необыкновенно хороши для квашения. Вкусовые качества отличные.</t>
  </si>
  <si>
    <t>4680206032263</t>
  </si>
  <si>
    <t>Капуста савойская Фиолетовое Кружево 0,3 гр. (Алт/ц)</t>
  </si>
  <si>
    <t>Капуста (разная)</t>
  </si>
  <si>
    <t>Высокоурожайный позднеспелый (150-170 дней) сорт. Кочаны крупные, твердые, плотные, слегка приплюснутые, зеленовато-фиолетовые, имеют нежную текстуру и прекрасные вкусовые качества. Используются в свежем виде в салатах, для приготовления первых и вторых блюд, является великолепной начинкой для выпечки. Сорт устойчив к растрескиванию, пригоден для непродолжительного хранения в течение 1 месяца.</t>
  </si>
  <si>
    <t>4630043108614</t>
  </si>
  <si>
    <t>Капуста цв. Столичная Штучка 10 шт. (Алт/ц)</t>
  </si>
  <si>
    <t>Капуста цветная</t>
  </si>
  <si>
    <t>Ранний деликатес с грядки или парника! Созревает на 60-65 день после высадки рассады при выращивании летом, 70 день — весной. Головка округлая, плотная, гладкая, массой до 0,9-1,1 кг, ровной молочно-белой окраски благодаря хорошему покрытию широких листьев.</t>
  </si>
  <si>
    <t>4680206046918</t>
  </si>
  <si>
    <t>Лук Здоровья друг репч. 0,2 гр. (Алт/ц)</t>
  </si>
  <si>
    <t>Лук</t>
  </si>
  <si>
    <t>Среднепоздний (120-130 дней) салатный сорт. Рекомендуется для выращивания в однолетней культуре. Луковица крупная, овальная, сухие чешуи соломенно-желтые, сочные - белые, средняя масса 200-500 г, отдельные луковицы достигают 800 г.  Вкус гармоничный, сладко-острый, очень нежный.</t>
  </si>
  <si>
    <t>4680206041838</t>
  </si>
  <si>
    <t>Лук Сибирский Гигант репч. 0,2г (Алт/ц)</t>
  </si>
  <si>
    <t>Раннеспелый сорт салатного назначения. Луковицы округлой формы, слегка вытянутые, золотисто-желтого цвета, массой до 2 кг. Максимальная масса достигается при выращивании рассадным способом в однолетней культуре,при посеве семенами в грунт формируется стандартная луковица. Благодаря нежному сладко-острому вкусу и отсутствию резкого лукового запаха – это великолепный сорт для употребления в свежем виде.</t>
  </si>
  <si>
    <t>4680206023070</t>
  </si>
  <si>
    <t>Лук Шнитт Медунок 0,5 гр. (Алт/ц)</t>
  </si>
  <si>
    <t>Зимостойкое неприхотливое растение с нежными ароматными листьями, которые используют в свежем виде. Характеризуется ранним и дружным отрастанием весной и продолжительной отдачей зелени в течение всего сезона. Длина листа 40 см. Вкус слабоострый.</t>
  </si>
  <si>
    <t>4680206048189</t>
  </si>
  <si>
    <t>Морковь Чурчхела Белая 0,2 гр. (Алт/ц)</t>
  </si>
  <si>
    <t>Морковь</t>
  </si>
  <si>
    <t>Среднеспелый (100-115 дней) урожайный сорт. Корнеплод удлиненно-конусовидный, с заостренным кончиком, длинной 18-22 см (при хорошем минеральном питании может достигать длины более 30 см), массой 100-150 г, с белой корой и сердцевиной. Мякоть хрустящая, очень сладкого и нежного вкуса, сочная. В этой моркови нет красящих веществ, поэтому она не вызывает аллергию и отлично усваивается. Такая морковь – отличный вариант для детского питания. Плоды не теряют своих вкусовых качеств после термической обработки. Отлично хранится.</t>
  </si>
  <si>
    <t>4680206048165</t>
  </si>
  <si>
    <t>Морковь Чурчхела Красная 0,2 гр. (Алт/ц)</t>
  </si>
  <si>
    <t>Среднеспелый (80-100 дней) урожайный сорт. Корнеплоды конусовидные, остроконечные, выровненные, ярко-красной окраски, длиной до 20 см. Мякоть хрустящая, сладкая, сочная, очень аппетитная, с ярким ароматом.</t>
  </si>
  <si>
    <t>4680206051721</t>
  </si>
  <si>
    <t>Морковь Чурчхела Фиолетовая 0,2 гр. (Алт/ц)</t>
  </si>
  <si>
    <t>Среднеспелый (80-100 дней) урожайный сорт. Корнеплоды конусовидные, остроконечные, выровненные, длиной до 20 см , ярко-фиолетовой окраски с оранжевой сердцевиной. Мякоть хрустящая, сладкая, сочная, очень аппетитная, с ярким ароматом, содержит большое количество бета-каротина, витаминов А и К, фолиевой кислоты, микроэлементов. Фиолетовая окраска обусловлена наличием в мякоти антоцианов – природных антиоксидантов. Сорт устойчив к цветушности и растрескиванию корнеплодов, прекрасно хранится длительное время. Рекомендуется для приготовления свежих салатов, борщей и винегретов, при замораживании сохраняет оригинальный цвет и аромат.</t>
  </si>
  <si>
    <t>4680206027672</t>
  </si>
  <si>
    <t>Огурец Блондинчик 0,5 гр. (Алт/ц)</t>
  </si>
  <si>
    <t>Среднеспелый (50-55 дней)  оригинальный партенокарпический сорт. Растение мощное, образует много боковых побегов. Плоды необыкновенно красивые, снежно-белого цвета, среднебугорчатые, длиной до 12 см. Огурчики плотные, хрустящие, без горечи, с приятным ароматом. Рекомендуется для употребления в свежем виде, для засолки и консервирования.</t>
  </si>
  <si>
    <t>4680206040022</t>
  </si>
  <si>
    <t>Огурец Пучковый Бум F1 5шт (Алт/ц)</t>
  </si>
  <si>
    <t>Раннеспелый (от всходов до начала плодоношения 39-44 дня) партенокарпический гибрид с обильным пучковым плодоношением для открытого и защищенного грунта. Растение генеративного типа, одновременно в узлах формируется не менее 5 шт. великолепных огурчиков, при правильном формировании образуется целый пучковый бум. Зеленцы цилиндрические, длиной 9-11 см, диаметром 3-3,5 см, насыщенного зелёного цвета, среднебугорчатые не перерастают, прекрасного товарного вида, без горечи и пустот</t>
  </si>
  <si>
    <t>4680206040046</t>
  </si>
  <si>
    <t>Огурец Сибирский Пучок 5 шт. (Алт/ц)</t>
  </si>
  <si>
    <t>Суперпучковый ультраранний партенокарпический гибрид. Одновременно в каждом междоузлии формируется 6-7 завязей. Зеленцы небольшие, длиной 9-11 см, массой 70-90 г., цилиндрические, темно-зеленые, с абсолютным отсутствием горечи.</t>
  </si>
  <si>
    <t>4680206062413</t>
  </si>
  <si>
    <t>Огурец Хрустящий Пучок 6 шт. (Алт/ц)</t>
  </si>
  <si>
    <t>Великолепный раннеспелый партенокарпический гибрид с пучковым заложением завязей. Предназначен для выращивания в открытом и защищенном грунте. В пазухе листа образуется до 6-7 завязей. Огурчики один к одному: цилиндрические, темно-зеленые, бугорчатые, массой 70-90 г, длиной 8-11 см. Зеленцы плотные, хрустящие, ароматные, абсолютно без горечи. Великолепный вкус как свежих, так и консервированных огурчиков.</t>
  </si>
  <si>
    <t>4680206062420</t>
  </si>
  <si>
    <t>Огурец Царская Охота 5 шт. (Алт/ц)</t>
  </si>
  <si>
    <t>Урожайный партенокарпический гибрид с пучковой завязью для выращивания в весенних плеточных теплицах. Спелость наступает на 50-53 день. Зеленец цилиндрический, 10-11 см длиной, бугорчатый, массой 70-110 г. Вкус превосходный – и в салатах, и в засолке. Урожайность – 6,5-11 кг/кв.м. Устойчив к комплексу заболеваний.</t>
  </si>
  <si>
    <t>4680206046536</t>
  </si>
  <si>
    <t>Огурец Ясельная Группа  F1 5шт (Алт/ц)</t>
  </si>
  <si>
    <t>Очень ранний партенокарпический высокоурожайный гибрид. Растение компактное, генеративного типа, одновременно в узлах формируется не менее 3-5 плодов. Зеленцы высокого качества с четко выраженными шипами, очень однородные, красивой темно-зеленой окраски, со средним весом 90-100 г, длиной 10-11 см. Гибрид сохраняет высокую товарность плодов на протяжении всего периода плодоношения.</t>
  </si>
  <si>
    <t>4680206052872</t>
  </si>
  <si>
    <t>Патиссон Муми-Тролль 1 гр. (Алт/ц)</t>
  </si>
  <si>
    <t>Патиссон</t>
  </si>
  <si>
    <t>Сорт – растет без хлопот! Куст высокий, с большим числом стеблей. Начало плодоношения – на 40-43 день, созревание поочередное, до 18-20 плодов с куста. Плоды слабоизрезанные, некрупные, 300-450 г, белые, с тонкой кожицей. Мякоть белая, сочная, плотная, приятного вкуса, с повышенным содержанием витаминов. Урожайный холодостойкий сорт.</t>
  </si>
  <si>
    <t>4680206060587</t>
  </si>
  <si>
    <t>Перец Алтынай 0,1 гр. (Алт/ц)</t>
  </si>
  <si>
    <t>Раннеспелый (90-95 дней) сорт для открытого грунта и теплиц. Куст компактный, высотой 40-50 см, не требует формирования. Плоды конусовидные, глянцевые, светло-зеленые в технической спелости и желто-оранжевые – в биологической, массой 120-200 г, отдельные плоды до 280 г, толщина стенки 7-9 мм. Сорт отлично подходит для потребления в свежем виде, салатов, запекания, фаршировки и заморозки, имеет яркий вкус и аромат.</t>
  </si>
  <si>
    <t>4680206026897</t>
  </si>
  <si>
    <t>Перец Атлант 0,1 гр. (Алт/ц)</t>
  </si>
  <si>
    <t>Среднеспелый, созревание наступает на 130 день, высокоурожайный сорт-исполин для открытого грунта и теплиц. Полностью оправдывает свое название: гигантские плоды достигают 22 см в длину, массой 180-190 г. Куст компактный. Это один из самых сладких перцев с сочными толстостенными плодами (толщина стенки 4,1-5,2 мм).</t>
  </si>
  <si>
    <t>4680206048318</t>
  </si>
  <si>
    <t>Перец Бабкин Язык 0,1 гр. (Алт/ц)</t>
  </si>
  <si>
    <t>Раннеспелый сорт, от всходов до технической спелости 80-90 дней. Куст компактный, высотой до 45 см. Плоды конусовидные, в технической спелости – светло-зеленые, в процессе созревания плоды меняют окраску на интенсивно-красную, средней массой 100-150 г. Толщина стенки 5-8 мм. Созревание дружное, на растении одновременно может созревать более 20 плодов. Подходит для выращивания в открытом грунте и теплицах.</t>
  </si>
  <si>
    <t>4680206027061</t>
  </si>
  <si>
    <t>Перец Боярин 0,1 гр. (Алт/ц)</t>
  </si>
  <si>
    <t>Раннеспелый сорт для открытого и защищенного грунта. Куст штамбовый, высотой 45-50 см. Плоды ярко-красные, плотные, конусовидные, массой 90-160 г, стенка 5-7 мм, удобные для фаршировки и салатов колечками. Отличные вкусовые качества. Высокое содержание каротина и витамина «С».</t>
  </si>
  <si>
    <t>4680206034458</t>
  </si>
  <si>
    <t>Перец Буратино 0,1 гр. (Алт/ц)</t>
  </si>
  <si>
    <t>Раннеспелый гибрид для открытого грунта и теплиц. Техническая спелость плодов наступает на 88-100 день после появления полных всходов. Растение высотой 100 см. Плод крупный, удлиненно-конусовидный, толщина стенки 4-5 мм, массой 105-115 г, до 250 г.</t>
  </si>
  <si>
    <t>4680206026798</t>
  </si>
  <si>
    <t>Перец Вождь Краснокожих 0,1 гр. (Алт/ц)</t>
  </si>
  <si>
    <t>Раннеспелый крупноплодный сорт для открытого грунта и теплиц.  Растение мощное. Куст штамбовый, высотой 55-60 см. Плоды кубовидные, темные, мясистые, в технической спелости — зеленые, массой 156-400 г, толстостенные (6-8 мм), отличных вкусовых качеств. Сорт  устойчив  к  заболеваниям.</t>
  </si>
  <si>
    <t>4680206049506</t>
  </si>
  <si>
    <t>Перец Джипси 5 шт. (Алт/ц)</t>
  </si>
  <si>
    <t>Раннеспелый высокоурожайный гибрид, неприхотливый в уходе. Прекрасно подходит для употребления в свежем виде, домашней кулинарии, консервировании. Растение средней высоты, полураскидистое. Плоды цилиндрической формы, массой 100-120 г. в технической спелости светло-желтые, в биологической – ярко-красные, обладают отличным вкусом, приятным ароматом. Подходит для выращивание в открытом грунте и под пленочными укрытиями.</t>
  </si>
  <si>
    <t>4680206067432</t>
  </si>
  <si>
    <t>Перец Дон Педро 0,1 гр. (Алт/ц)</t>
  </si>
  <si>
    <t>Среднеранний (110-120 дней) высокоурожайный сорт для открытого грунта и пленочных укрытий. Растение среднерослое, высотой 45-55 см, слабораскидистое. Плоды конусовидной формы, крупные. Окраска в технической спелости светло-зеленая, в биологической - темно-красная. Массой 100-150 г, длиной 8-11 см, толщина стенки 5-6 мм. Универсального использования.</t>
  </si>
  <si>
    <t>4680206026811</t>
  </si>
  <si>
    <t>Перец Золотой Слиток 0,1 гр. (Алт/ц)</t>
  </si>
  <si>
    <t>Раннеспелый сорт. Растение полураскидистое, средней высоты. Плоды пониклые, кубовидные, глянцевые, желтые, массой 161-300 г, толщина стенки 7-9 мм. Удивит богатый урожай крупных, сочных, сладких плодов, покорит Вас в салатах и свежем виде.</t>
  </si>
  <si>
    <t>4680206066046</t>
  </si>
  <si>
    <t>Перец Йоло Чудо 0,2 гр. (Алт/ц)</t>
  </si>
  <si>
    <t>Среднеспелый сорт (75-80 дней) для открытого грунта и пленочных теплиц. Растение компактное, высотой 45-60 см. Плоды красивой, удлиненно-кубической формы, гладкие, сочные, ароматные, массой до 300 г. В биологической спелости красного цвета. Устойчив к болезням. Универсальное использование.</t>
  </si>
  <si>
    <t>4680206054302</t>
  </si>
  <si>
    <t>Перец Карась 10 шт. (Алт/ц)</t>
  </si>
  <si>
    <t>Среднеранний (95-105 дней) сорт для открытого грунта и теплиц.  Куст компактный, высотой 30-45 ми, не требует формирования.  Плоды конусовидные, глянцевые, оригинальной окраски: в технической спелости ярко-желтые с темно-фиолетовыми штрихами, в биологической приобретают насыщенную оранжевую окраску с темно-красными и фиолетовыми штрихами, массой 200-300 г, отдельные плоды до 400 г, толщина стенки 7-8 мм. Сорт отлично подходит для потребления в свежем виде, для зимних заготовок и заморозки, имеет яркий вкус и аромат.</t>
  </si>
  <si>
    <t>4680206057938</t>
  </si>
  <si>
    <t>Перец Конь 10 шт. (Алт/ц)</t>
  </si>
  <si>
    <t>Среднеспелый (105-115 дней) высокопродуктивный сорт для открытого грунта и теплиц. Растение компактное, полураскидистое, высотой 50-70 см, не требует формирования. Плоды кубовидные, очень крупные, массой 250-350 г, толщина стенки до 7-10 мм. В технической спелости плоды зеленые, сочные, в биологической – темно-красные, иногда с оранжево-коричневым оттенком. Сорт прекрасно подходит для потребления в свежем виде, салатов, зимних заготовок, фарширования и заморозки.</t>
  </si>
  <si>
    <t>4680206034441</t>
  </si>
  <si>
    <t>Перец Падишах 0,1 гр. (Алт/ц)</t>
  </si>
  <si>
    <t>Раннеспелый сорт для открытого грунта и теплиц. Плоды цилиндрические, красные, массой 86-350 г, богаты каротином, сочные, сладкие. Благодаря высокой урожайности и вкусовым качествам этот сорт займет достойное место в Вашем огороде. Используется в свежем виде, заморозке и других переработках.</t>
  </si>
  <si>
    <t>4620009638149</t>
  </si>
  <si>
    <t>Перец Первенец Романцова 0,2 гр. (Алт/ц)</t>
  </si>
  <si>
    <t xml:space="preserve"> Раннеспелый (80-112 дней) сорт для открытого и защищенного грунта.  Растение штамбовое, высотой 45-55 см. Плод пониклый, конусовидный, красный. Масса плода 32-67 г, отдельные плоды до 150 г. Сорт универсального назначения. Дает стабильный урожай в различных погодных условиях.</t>
  </si>
  <si>
    <t>4680206026873</t>
  </si>
  <si>
    <t>Перец Плей Бой  0,1 гр.(Алт/ц)</t>
  </si>
  <si>
    <t>Сорт с крупными плодами превосходного вкуса, созревание наступает на 70-75 день. Высота куста 70 см. Плоды призмовидные, зеленые в потребительской спелости и ярко-красные в биологической. В длину достигают 18-20 см, толщина стенок 8-10 мм. Для выращивания в открытом и защищенном грунте. Использование универсальное.</t>
  </si>
  <si>
    <t>4680206026880</t>
  </si>
  <si>
    <t>Перец Примерный Муженек 0,1 гр. (Алт/ц)</t>
  </si>
  <si>
    <t>Раннеспелый урожайный сорт. Плоды кубовидной формы, массой 160-200 г, ярко-красные в биологической спелости, сладкие. Толщина стенок — до 10 мм. Ценность сорта: высокие вкусовые качества, приятный аромат, универсальность использования. Подходит для выращивания в открытом грунте, теплицах и под пленочными укрытиями.</t>
  </si>
  <si>
    <t>4680206066053</t>
  </si>
  <si>
    <t>Перец Ранний Сибиряк 0,1 гр. (Алт/ц)</t>
  </si>
  <si>
    <t>Раннеспелый (95-100 дней) высокоурожайный сорт для открытого грунта и пленочных укрытий. Куст мощный, высокорослый. Плоды кубовидные, гладкие, насыщенно-красного цвета, мясистые, массой 200-250 г, толщина стенки до 10 мм. Мякоть сочная, сладкая, очень ароматная. Сорт устойчив к болезням, дружносозревающий. Плоды подходят для использования в кулинарии, маринования и замораживания.</t>
  </si>
  <si>
    <t>4680206060570</t>
  </si>
  <si>
    <t>Перец Сапсан 0,1 гр. (Алт/ц)</t>
  </si>
  <si>
    <t>Раннеспелый (90-95 дней) урожайный сорт для выращивания в открытом грунте и теплицах. Куст полураскидистый, высотой 35-45 см, не требуют формирования, но требует подвязывания. Плоды удлиненно-конические, молочно-зеленые в технической спелости и красно-оранжевые – в биологической, отличного вкуса, ароматные, массой 120-155 г, толщина стенки 5-7 мм. Хорошо подходят для потребления в свежем виде, салатов, консервирования и заморозки.</t>
  </si>
  <si>
    <t>4680206047038</t>
  </si>
  <si>
    <t>Перец Сибирский Богатырь 0,1 гр. (Алт/ц)</t>
  </si>
  <si>
    <t>Раннеспелый крупноплодный сорт, устойчивый к заболеваниям. Куст штамбовый, высотой 55-60 см. Плоды кубовидные, темные, мясистые, толстостенные до 6-8 мм, средней массой 200-400 г. Сорт устойчив к заболеваниям. Подходит для выращивания в открытом грунте, теплицах и под пленочными укрытиями.</t>
  </si>
  <si>
    <t>4680206042019</t>
  </si>
  <si>
    <t>Перец Сибирский Гигант 5 шт. (Алт/ц)</t>
  </si>
  <si>
    <t>Серия Сибирский гигант - богатырский размер и богатый урожай. Гарантированно высокий урожай плодов отменного качества. Среднеспелый гибрид. Растение полураскидистое, мощное, среднерослое. Плоды крупные, кубовидные, массой до 400 г, с сочными сладкими стенками толщиной до 10 мм. Хорошо переносит неблагоприятные условия. Рекомендуется для использования в свежем виде и домашней кулинарии, прекрасно подходит для консервирования и приготовления лечо.</t>
  </si>
  <si>
    <t>4680206056665</t>
  </si>
  <si>
    <t>Перец Сибирский Князь 0,1 гр. (Алт/ц)</t>
  </si>
  <si>
    <t>Селекция Западно-Сибирской овощной опытной станции. Раннеспелый (104-114 дней) сорт. Растение полураскидистое, высокое. Плоды пониклые, конусовидные, темно-красные, массой до 200 г, толщина стенки 4,5-5 мм. Сорт отличается дружной отдачей урожая, высокой товарностью. Плоды пригодны для кратковременного хранения.</t>
  </si>
  <si>
    <t>4680206056337</t>
  </si>
  <si>
    <t>Перец Татарин 10 шт.НОВИНКА! (Алт/ц)</t>
  </si>
  <si>
    <t>Раннеспелый (90-95 дней) сорт для открытого грунта и теплиц, подходит для комнатного выращивания. Куст компактный, высотой 40-50 см, не требует формирования. Плоды конусовидные, глянцевые, оранжево-красные в технической спелости и насыщенно-красные – в биологической, массой 100-180 г, отдельные плоды до 200 г, толщина стенки 5-7 мм. Сорт отлично подходит для потребления в свежем виде, салатов и заморозки, имеет яркий вкус и аромат.</t>
  </si>
  <si>
    <t>4680206026903</t>
  </si>
  <si>
    <t>Перец Толстопуз 0,1 гр. (Алт/ц)</t>
  </si>
  <si>
    <t>Раннеспелый сорт для открытого и защищенного грунта с изумительными вкусовыми качествами и приятным ароматом. Растение штамбовое, средней высоты. Плоды в технической спелости зеленые, в биологической красные, массой 120-400 г, толщина стенки 5-9 мм. Отличается высокими товарными качествами, стабильностью урожая и отличными вкусовыми качествами.</t>
  </si>
  <si>
    <t>4680206026835</t>
  </si>
  <si>
    <t>Перец Толстый Барин 0,1 гр. (Алт/ц)</t>
  </si>
  <si>
    <t>Раннеспелый (90-100 дней) урожайный сорт. Плоды в виде усеченного конуса, массой до 400 г, сладкие, ароматные, в биологической спелости красные, толщина стенки 8-9 мм. Выращивают в открытом или защищенном грунте. Ценится за  вкусовые качества и высокую урожайность.</t>
  </si>
  <si>
    <t>4630043101882</t>
  </si>
  <si>
    <t>Перец Три толстяка 15 шт. (Алт/ц)</t>
  </si>
  <si>
    <t>Представляет собой смесь 3 превосходных сортов: желтый, красный и черный. Смесь подобрана, исходя из предпочтений покупателей: все перцы крупноплодные, массой в среднем 200-300 г и толстостенные (8-10 мм), отличаются замечательным вкусом и ароматом. Высокая урожайность, транспортабельность, привлекательный внешний вид, отличные вкусовые и товарные качества, уникальность использования — определяют достоинства «Трех Толстяков». Подходит для выращивания в открытом грунте, теплицах и под пленочными укрытиями.</t>
  </si>
  <si>
    <t>4680206056375</t>
  </si>
  <si>
    <t>Перец Федор 10 шт. (Алт/ц)</t>
  </si>
  <si>
    <t>Раннеспелый (90-95 дней) сорт для открытого грунта и теплиц, устойчивый к пониженным температурам. Куст полураскидистый, высотой 35-40 см, не требует формирования. Плоды призмовидно-конические, полуглянцевые, светло-зеленые в технической спелости и красно-оранжевые – в биологической, массой 110-190 г, отдельные плоды до 220 г, толщина стенки 5-9 мм. Сорт урожайный, плоды имеют отличные вкус и яблочный аромат, прекрасно подходят для потребления в свежем виде, салатов, фарширования и заморозки.</t>
  </si>
  <si>
    <t>4680206026842</t>
  </si>
  <si>
    <t>Перец Фельдмаршал 0,1 гр. (Алт/ц)</t>
  </si>
  <si>
    <t>Раннеспелый высокоурожайный сорт для открытого грунта и теплиц. Растение полураскидистое, высотой 45-58 см. Плоды толстостенные (4-6 мм), блестящие, плотные, массой 67 г, отдельные плоды до 350 г. В технической спелости плоды светло-золотистые, в биологической ярко-красные. Завязываемость плодов отличная. Сорт устойчив к пониженным температурам.</t>
  </si>
  <si>
    <t>4680206027412</t>
  </si>
  <si>
    <t>Перец Цесаревич 0,1 гр. (Алт/ц)</t>
  </si>
  <si>
    <t>Среднеспелый сорт. Растение штамбовое, полураскидистое, куст высотой 50-60 см. Плод конусовидный, светло-зеленый в технической спелости и красный в биологической спелости, массой 110-300 г, стенка толщиной 6-9 мм. Плоды отличных вкусовых качеств, удобны для переработки и употребления в свежем виде. Для выращивания в открытом грунте, теплицах и под пленочными укрытиями.</t>
  </si>
  <si>
    <t>4680206026767</t>
  </si>
  <si>
    <t>Перец Ягуар 0,1 гр. (Алт/ц)</t>
  </si>
  <si>
    <t>Среднеспелый крупноплодный сорт. Плоды цилиндрические, сочные, сладкие, золотисто-желтого цвета, с толстой стенкой (8-10 мм). Растение с трудом удерживает урожай, масса плодов до 400 г. отличные вкусовые качества. Для потребления в свежем виде.</t>
  </si>
  <si>
    <t>4680206026859</t>
  </si>
  <si>
    <t>Перец Ятаган 0,1 гр. (Алт/ц)</t>
  </si>
  <si>
    <t>Среднеспелый (121 день) сорт. Растение полураскидистое, средней высоты. Плоды крупные, мясистые, массой 78-200 г, толщина стенки 5-6 мм. Отличные вкусовые качества. Для использования в свежем виде и для домашней переработки.</t>
  </si>
  <si>
    <t>4680206023278</t>
  </si>
  <si>
    <t>Портулак Восточная Закуска 0,1 гр. (Алт/ц)</t>
  </si>
  <si>
    <t>Пряные и лечебные травы, зеленные</t>
  </si>
  <si>
    <t>Однолетнее овощное растение. Раннеспелый (25-30 дней) сорт. Стебель стелющийся или прямостоячий. Розетка полуприподнятая, высотой 18-21 см. Лист мелкий, овально-продолговатый, золотисто-желтый, сочный, мясистый. Вкус приятный, слегка жгучий. В кулинарии используют листья и верхние части молодых побегов. Зелень содержит каротин и витамины. Используется в салатах и как приправа, обладает целебными и бактерицидными свойствами. Применяют портулак овощной как противовоспалительное средство при заболеваниях почек, печени, мочевого пузыря, при метеоризме и беспокойном сне.</t>
  </si>
  <si>
    <t>4680206023438</t>
  </si>
  <si>
    <t>Пустырник Сердечный 0,1 гр. (Алт/ц)</t>
  </si>
  <si>
    <t>Травянистый многолетник. Популярное пряно-ароматическое, лекарственное и декоративное растение, хороший медонос. Высота растения – 50-160 см. Стебли прямостоячие, ветвящиеся. Цветки розовые, расположены вдоль стеблей. Цветение в июле-сентябре. Зеленые части растения содержат флавоноиды, эфирные масла, дубильные вещества, органические кислоты, витамины и микроэлементы. Отвары обладают седативными и ранозаживляющими свойствами, снижают артериальное давление и нормализуют ритм сердечных сокращений.</t>
  </si>
  <si>
    <t>4680206023421</t>
  </si>
  <si>
    <t>Расторопша пятнистая Здравница 1 гр. (Алт/ц)</t>
  </si>
  <si>
    <t>Однолетнее лекарственное и декоративное растение. Куст высотой до 150 см. Соцветия-корзинки диаметром 3-6 см. Цветки фиолетовые. Отвары из семян расторопши принимают при заболеваниях печени и желчного пузыря, гепатите, для похудения. Настой эффективен при варикозном расширении вен, заболеваниях желудочно-кишечного тракта, сердечнососудистой и репродуктивной систем организма. Кроме семян для лечения используют корень и листья. В пищу употребляют молодые листья и черенки.</t>
  </si>
  <si>
    <t>4607142009111</t>
  </si>
  <si>
    <t>Редис Алый шар 2 гр. (Алт/ц)</t>
  </si>
  <si>
    <t>Редис</t>
  </si>
  <si>
    <t>Сорт для получения ранней продукции в пленочном укрытии или открытом грунте. От всходов до созревания 19-21 день. Сорт отличается дружной отдачей урожая. Корнеплоды округлые, алого цвета, масса до 20 г. Не стрелкуется. Светолюбивая, холодостойкая культура, предпочитает рыхлые, плодородные, супесчаные или легкосуглинистые почвы с нейтральной реакцией среды.</t>
  </si>
  <si>
    <t>4680206043962</t>
  </si>
  <si>
    <t>Редька Годзилла 1 гр. (Алт/ц)</t>
  </si>
  <si>
    <t>Редька</t>
  </si>
  <si>
    <t>Среднеспелый (70-75 дней) сорт, сочетающий в себе великолепные товарные качества, повышенную продуктивность и целебные свойства. Корнеплоды выравненные, округлые, с черной кожурой. Мякоть белая, плотная, сочная и хрустящая, массой 220-300 г.</t>
  </si>
  <si>
    <t>4680206039316</t>
  </si>
  <si>
    <t>Репа Бабка за Дедку 1 гр. (Алт/ц)</t>
  </si>
  <si>
    <t>Репа</t>
  </si>
  <si>
    <t>Среднеспелый (60-65 дней) сорт со стабильной урожайностью. Корнеплод округлый, белый с зеленым воротничком, массой 100-120 гр. Вкус превосходный. Содержит витамин В1, который благотворно сказывается на работе эндокринной и нервной системы, восстанавливает уровень холестерина в крови и давление. Используют в пищу молодые корнеплоды и листья.</t>
  </si>
  <si>
    <t>4680206039309</t>
  </si>
  <si>
    <t>Репа Тянем-Потянем 1г (Алт/ц)</t>
  </si>
  <si>
    <t>Раннеспелый (45-50 дней) высокоурожайный сорт. Корнеплоды округлые, белые, с фиолетовым румянцем у верхушки, массой 300-330 г. Мякоть белая, плотная, очень сочная и сладкая. Корнеплоды используются в свежем виде, для приготовления салатов, пригодны для хранения в осенне-зимний период.</t>
  </si>
  <si>
    <t>4630043108683</t>
  </si>
  <si>
    <t>Свекла Столбовая Дворянка 2 гр. (Алт/ц)</t>
  </si>
  <si>
    <t>Свекла</t>
  </si>
  <si>
    <t>Среднеспелый (110-125 дней), дающий высокий урожай независимо от погодных условий сорт. Розетка листьев небольшая. Корнеплоды округлые, красные, гладкие, выравненные, массой 150-200 г, с тонким коротким корешком. Мякоть темно-красная, без кольцеватости. Хорошее хранение.</t>
  </si>
  <si>
    <t>4630043100946</t>
  </si>
  <si>
    <t>Свекла Фекла 2 гр. (Алт/ц)</t>
  </si>
  <si>
    <t>Отличная форма, богатое содержание! Сорт среднеранний, 75-95 дней от всходов до созревания. Корнеплод округло-плоский, массой 180-400 г. Мякоть темно-красная с бордовым оттенком. Ценность сорта: холодостойкость, урожайность, хорошая лежкость, отличные вкусовые качества.</t>
  </si>
  <si>
    <t>4680206049537</t>
  </si>
  <si>
    <t>Томат Алтайский Сахарный 0,05 гр. (Алт/ц)</t>
  </si>
  <si>
    <t>Среднеспелый (110-115 дней) сорт, характеризующийся хорошей завязываемостью плодов. Растение индетерминантное, отлично подходит для тепличного выращивания. Плоды плоскоокруглые, красные, очень сладкие и ароматные, мясистые, массой 250-400 г, отдельные плоды до 800 г. Мякоть плотная, на разломе сахаристая. Сорт хорошо устойчив к ряду заболеваний пасленовых. Сорт используется для приготовления свежих салатов, соков и всех видов консервирования.</t>
  </si>
  <si>
    <t>4680206035400</t>
  </si>
  <si>
    <t>Томат Близняшки 0,05 гр. (Алт/ц)</t>
  </si>
  <si>
    <t>Урожайный, среднеранний (108-120 дней), детерминантный сорт, куст высотой 90-120 см. Мясистые, розово-красные сладкие плоды, одинакового размера в кисти. Плоды массой 100-250 г, хороши в салате, отлично идут на засолку. При полном созревании можно снять кожуру без погружения в кипяток, чтобы приготовить салат для ребенка или сок. Плоды могут храниться в свежем виде до двух недель.</t>
  </si>
  <si>
    <t>4680206035424</t>
  </si>
  <si>
    <t>Томат Бравый Генерал 0,05 гр. (Алт/ц)</t>
  </si>
  <si>
    <t>Раннеспелый индетерминантный сорт. Плоды плоскоокруглые, очень крупные, мясистые, массой до 1 кг. Исключительный вкус плодов подарит Вам наслаждение салатами и деликатесными соками.</t>
  </si>
  <si>
    <t>4680206069658</t>
  </si>
  <si>
    <t>Томат Ватрушка 0,05 гр. (Алт/ц)</t>
  </si>
  <si>
    <t>Среднеспелый (115 дней от полных всходов до начала спелости плодов) индетерминантый высокопродуктивный сорт, закладывает плодовые кисти через каждые 2 листа. Плоды плоскоокруглые, слаборебристые, очень крупные, мясистые, средней массой 425 г, могут достигать 700 г. Окраска плодов красная. Средняя урожайность 12,3 кг/кв.м, отзывчив на подкормки. При высоком урожае сохраняет крупноплодность. Мякоть имеет насыщенный томатный вкус и яркий аромат. Сорт характеризуется стабильным плодоношением. Пригоден для употребления в свежем виде, в салатах, для приготовления сока, томатной пасты, зимних заготовок и замораживания.</t>
  </si>
  <si>
    <t>4680206052056</t>
  </si>
  <si>
    <t>Томат Вишня в Шоколаде 0,05 гр. (Алт/ц) 185799612</t>
  </si>
  <si>
    <t>Раннеспелый (100-110 дней) сорт для открытого грунта и теплиц. Растение индетерминантное, высотой 2-3 м в теплице, в открытом грунте до 1,3-1,6 м, мощное, обильно покрытое кистями плодов. Плодоношение очень длительное – до морозов. В сложных кистях формируется по 25-40 плодов массой 8-20 г. Вкус десертный – сладкий, насыщенный, с фруктовым ароматом. Для консервирования плоды снимают в фазе бланжевой спелости.  Урожайность 7-10 кг/кв.м.</t>
  </si>
  <si>
    <t>4680206054326</t>
  </si>
  <si>
    <t>Томат Жрица 0,05 гр. (Алт/ц)</t>
  </si>
  <si>
    <t>Среднеранний (110-115 дней) сорт. Растение индетерминантное, высотой до 2 м при тепличном выращивании, до 110-170 см в открытом грунте. Плоды крупные, массой 300-750 г розово-малиновые, сладкие, с насыщенным вкусом и ярким ароматом, мясистые, на разломе сахаристые, с небольшими семенными камерами. Отлично подходит как для салатов, так и для приготовления соков, соусов и других заготовок.</t>
  </si>
  <si>
    <t>4680206055668</t>
  </si>
  <si>
    <t>Томат Запуняка 0,05 гр. (Алт/ц)</t>
  </si>
  <si>
    <t>Раннеспелый сорт, созревание плодов наступает на 95-98 день после появления всходов. Растение компактное, полудетерминантное, высотой 35-45 см. Плоды округло-сливовидные, красные, массой 50-90 г, собраны в массивные кисти неправильной формы по 12-17 шт., гармоничного кисло-сладкого вкуса с насыщенным томатным ароматом. Устойчив к перепадам температур и комплексу заболеваний пасленовых, дает стабильный урожай в любых погодных условиях.</t>
  </si>
  <si>
    <t>4680206035707</t>
  </si>
  <si>
    <t>Томат Званый Вечер 0,05 гр. (Алт/ц)</t>
  </si>
  <si>
    <t>Великолепный среднеспелый (115-120 дней), детерминантный, штамбовый сорт, который будет радовать Вас своим стабильно высоким урожаем! Растение высотой 45-65 см. Плоды округлой и плоскоокруглой формы, золотисто-оранжевого цвета, массой 125 г, отдельные плоды достигают 500 г, очень вкусные, прекрасно подходят для домашней кулинарии, хорошо хранятся. Отличительной особенностью является мощный стебель, благодаря которому растение не требует подвязки. Листва напоминает картофельную, куст обильно облиственный. Плоды созревают внутри куста, поэтому не повреждаются вредителями и холодной росой.</t>
  </si>
  <si>
    <t>4680206045874</t>
  </si>
  <si>
    <t>Томат Золотой Алтын 0,05 гр. (Алт/ц)</t>
  </si>
  <si>
    <t>Раннеспелый (90-95 дней) сорт сибирской селекции для выращивания в открытом грунте, под пленочными укрытиями и в теплице. Растение  штамбовое, детерминантное, компактное, не требует пасынкования  подвязки. Куст высотой 38-45 см, обильно усыпан красивыми аппетитными плодами – округлыми, гладкими, насыщенного желтовато-оранжевого цвета, средней массой 50 гр. Рекомендуется для приготовления салатов и украшения блюд, цельноплодного консервирования и переработки.</t>
  </si>
  <si>
    <t>4680206035714</t>
  </si>
  <si>
    <t>Томат Золотце 0,05 гр. (Алт/ц)</t>
  </si>
  <si>
    <t>Раннеспелый супердетерминантный (высота 25-30 см) сорт. Куст усыпан плодами ярко-желтой окраски, массой 25 г. Очень вкусные, сладкие плоды — настоящее лакомство для детей и взрослых. Прекрасно подходят для украшения блюд, великолепны в засолке.</t>
  </si>
  <si>
    <t>4680206062246</t>
  </si>
  <si>
    <t>Томат Иваныч 10 шт. (Алт/ц)</t>
  </si>
  <si>
    <t>Раннеспелый (90-95 дней) гибрид с дружной отдачей урожая. Растение детерминантное, компактное, высотой 70-90 см. В кисти формируется 5-6 округлых плодов розовой окраски, массой 180-220 г, очень приятного вкуса. Урожайность при выращивании в закрытом грунте достигает 18-20 кг/кв.м. Отличается устойчивостью к болезням и хорошей транспортабельностью.</t>
  </si>
  <si>
    <t>4680206039057</t>
  </si>
  <si>
    <t>Томат Инна 0,05 гр. Сибирская Селекция! (Алт/ц)</t>
  </si>
  <si>
    <t>Среднеспелый сорт для выращивания в открытом грунте и в теплицах. Растение индетерминантное, высотой до 2 м. Плоды крупные, сочные, мясистые, массой 260-700 г, семенные камеры небольшие, мякоть гармоничного вкуса, сахаристая на разлом.</t>
  </si>
  <si>
    <t>4680206051967</t>
  </si>
  <si>
    <t>Томат Йетина мать 0,05 гр. (Алт/ц) 185799561</t>
  </si>
  <si>
    <t>Среднеспелый (105-115 дней) очень урожайный сорт для открытого грунта и теплиц. Растение детерминантное, высотой 60-90 см. Плоды округлые, гладкие, насыщенно-красного цвета, с маленькими семенными камерами, массой 90-180 г, до 230 г, формируются в неправильных кистях. Мякоть плотная, не водянистая, без жестких волокон, ароматная, с насыщенным вкусом и ярким томатным ароматом. Сорт устойчив к комплексу заболеваний, хорошо переносит перепады температуры, не требует обязательной формировки. Плоды универсального использования, отлично хранятся, характеризуются прекрасной транспортабельностью и высокими товарными качествами, сохраняют форму и не растрескиваются при консервировании.</t>
  </si>
  <si>
    <t>4680206055644</t>
  </si>
  <si>
    <t>Томат Кабанчик 5 шт. (Алт/ц)</t>
  </si>
  <si>
    <t>Среднеранний (100-110 дней) гибрид. Растение компактное, детерминантное. Плоды тёмно-красного цвета, округлые, плотные, гладкие, массой 250-300 г, отличных вкусовых качеств. Гарантирует высокий урожай при любых погодных условиях: гибрид отлично завязывает плоды при высоких температурах, обладает холодостойкостью и засухоустойчивостью. Рекомендуется для свежего потребления и переработки.</t>
  </si>
  <si>
    <t>4680206067388</t>
  </si>
  <si>
    <t>Томат Кебаб 5 шт. (Алт/ц)</t>
  </si>
  <si>
    <t>Среднеранний (98-105 дней) гибрид для открытого грунта и тепличного выращивания. Растение детерминантное, в высоту достигает 55-70 см. Плоды удлиненно-цилиндрические, оранжево-красные, мякоть с высоким содержанием сухого вещества, на разломе сахаристый, в полной спелости пустотелый, классического вкуса, массой 130-180 г, формируются в кистях по 5-7 шт. Стенка плода плотная, мясистая, отлично подходит для вяления, томатных паст. Хорошо хранится. Гибрид устойчив к ряду заболеваний пасленовых.</t>
  </si>
  <si>
    <t>4680206057372</t>
  </si>
  <si>
    <t>Томат Китайский Болезнеустойчивый 0,05 гр. (Алт/ц)</t>
  </si>
  <si>
    <t>Раннеспелый урожайный низкорослый сорт для открытого грунта, резистентный к патогенам. Образует многочисленные однотипные красные плоды круглой формы весом около 200 г.</t>
  </si>
  <si>
    <t>4680206057365</t>
  </si>
  <si>
    <t>Томат Китайский Жароустойчивый 0,1 гр. (Алт/ц)</t>
  </si>
  <si>
    <t>Раннеспелый сорт с великолепным вкусом и прекрасным внешним видом! Компактные детерминантные кусты позволяют получать большие урожаи даже на небольших участках. Вкусные плоды с нежной розовой мякотью, массой до 200 г, отлично подойдут как для салатов, так и для соков. Жароустойчивый сорт прекрасно адаптированный к условиям Сибири.</t>
  </si>
  <si>
    <t>4680206057341</t>
  </si>
  <si>
    <t>Томат Китайский Ранний 0,05 гр. (Алт/ц)</t>
  </si>
  <si>
    <t>Раннеспелый детерминантный сорт. Плоды округло-плоские, ярко-красные, массой до 300 г, устойчивые к растрескиванию. Пригодны для свежего потребления и консервирования. Сорт предназначен для выращивания в открытом  грунте, теплицах и  пленочных укрытиях.</t>
  </si>
  <si>
    <t>4680206057358</t>
  </si>
  <si>
    <t>Томат Китайский Холодоустойчивый 0,1 гр. (Алт/ц)</t>
  </si>
  <si>
    <t>Раннеспелый сорт для открытого грунта и пленочных теплиц, созревание наступает через 100-105 дней от полных всходов. Растения компактные детерминантные, требуют подвязки. Плоды красные, плоскоокруглые, очень мясистые, ребристые, не выравненные по величине, массой 90-120 г.</t>
  </si>
  <si>
    <t>4680206036704</t>
  </si>
  <si>
    <t>Томат Комбат 0,05 гр. (Алт/ц)</t>
  </si>
  <si>
    <t>Великолепный среднеранний сорт для консервирования и засолки! Растение штамбовое, детерминантное. Плод цилиндрический, гладкий, плотный, окраска зрелого плода красная, массой 95-145 г. Для выращивания в открытом грунте и под пленочными укрытиями.</t>
  </si>
  <si>
    <t>4680206035479</t>
  </si>
  <si>
    <t>Томат Король Сибири 0,05 гр. (Алт/ц)</t>
  </si>
  <si>
    <t>Среднеспелый индетерминантный сорт для открытого и защищенного грунта. Растение высотой до 2 м при тепличном выращивании. Плоды желтые, сердцевидной формы, крупные, мясистые, массой до 700-900 г. Мякоть сладкая, на разломе сахаристая. На одной кисти формируется до 7 плодов. Используется в свежем виде и для заготовок на зиму.</t>
  </si>
  <si>
    <t>4680206035585</t>
  </si>
  <si>
    <t>Томат Красногвардеец 0,05 гр. Сибирская Селекция! (Алт/ц)</t>
  </si>
  <si>
    <t>С грядки прямо в банку - один из лучших для консервирования! Среднеранний детерминантный сорт. Плоды необычайно длинные (12-14 см), ровные, ярко-красные, без зеленого пятна у плодоножки, очень плотные, массой 65-95 г, первые плоды до 130 г, обладают превосходным вкусом. Мякоть сочная, сладкая. Плоды не растрескиваются при консервации.</t>
  </si>
  <si>
    <t>4680206051974</t>
  </si>
  <si>
    <t>Томат Кулема Алтайская 0,05 гр. (Алт/ц)</t>
  </si>
  <si>
    <t>Среднеспелый (110-120 дней) сорт для выращивания в теплицах и открытом грунте. Растение среднерослое детерминантное, высотой 60-95 см, соцветия закладываются сближено, часто попарно, через 1-2 листа, что способствует дружной отдаче урожая. Плоды округлой формы, гладкие, ярко-красные, мясистые, сладкие, массой 170-250 г, отдельные до 400 г. Сорт адаптирован к пониженным температурам.</t>
  </si>
  <si>
    <t>4680206048233</t>
  </si>
  <si>
    <t>Томат Лампочка 0,05 гр. (Алт/ц)</t>
  </si>
  <si>
    <t>Среднеранний (110-115 дней) сорт для выращивания в открытом грунте и под пленочными укрытиями. Растение полудетерминантное, высотой 65-90 см, требует подвязки и формирования. Плоды грушевидные, слаборебристые, плотные, массой 90-110 г. Отлично подходит для приготовления  салатов и цельноплодного консервирования. Урожайность товарных плодов 8 кг/м2. Устойчив к растрескиванию плодов.</t>
  </si>
  <si>
    <t>4680206035608</t>
  </si>
  <si>
    <t>Томат Медовый вкус 0,05 гр. (Алт/ц)</t>
  </si>
  <si>
    <t>Раннеспелый неприхотливый сорт для открытого грунта. Растение детерминантное, куст компактный, высотой до 1 м. Плоды красные, крупные, мясистые, насыщенного сладкого вкуса, с сахаристой мякотью, массой до 450 г. Великолепно подходит для приготовления соков и салатов.</t>
  </si>
  <si>
    <t>4680206048370</t>
  </si>
  <si>
    <t>Томат Могучее Вымя 0,05 гр. (Алт/ц) 185799588</t>
  </si>
  <si>
    <t>Среднеспелый (105-115 дней) крупноплодный сорт. Растение индетерминантное, при тепличном выращивании достигает высоты 2 м. Плоды малиновые, очень сладкие, мясистые, сахаристые. Массой 400-600 г, отдельные до 800 г. Пригоден как для употребления в свежем виде для детского и диетического питания, так и для зимних заготовок.</t>
  </si>
  <si>
    <t>4680206066220</t>
  </si>
  <si>
    <t>Томат Монеточка 0,1 гр. (Алт/ц) 181001786</t>
  </si>
  <si>
    <t>Ультраранний (80-85 дней)сорт томатов-черри для открытого и защищенного грунта. Растение детерминантное, в открытом грунте вырастает до 70-80 см, в теплице достигает высоты 120 см. Плоды золотисто-оранжевого цвета, массой 15-20 г, могут достигать 35 г, круглые или немного удлиненные, очень сладкие с гармоничной фруктовой кислинкой, формируются в неправильных кистях по 15-18 плодов. На растении формируется 7-8 кистей, завязываются без пропусков. Сорт можно выращивать без пасынкования. Растение устойчиво к перепадам температуры, неприхотливо к условиям выращивания, устойчиво к ряду заболеваний, характеризуется длительным периодом плодоношения. Плоды можно использовать в свежем виде и для консервации, они хорошо хранятся и могут дозариваться в кистях, снятых с куста.</t>
  </si>
  <si>
    <t>4680206062291</t>
  </si>
  <si>
    <t>Томат Настена 10 шт. (Алт/ц)</t>
  </si>
  <si>
    <t>Раннеспелый (95-98 дней) урожайный гибрид отличных вкусовых и товарных качеств. Растение детерминантное, высота куста 100-120 см. Плоды округлые, красные, гладкие, плотные и сочные, массой до 200 г, хорошо хранятся. Для выращивания в открытом грунте и под пленочным  укрытием.</t>
  </si>
  <si>
    <t>4680206036193</t>
  </si>
  <si>
    <t>Томат Никитка 0,05 гр. (Алт/ц)</t>
  </si>
  <si>
    <t>Раннеспелый сорт для открытого и защищенного грунта. Растение индетерминантное. Плоды цилиндрические, выравненные, гладкие, средней плотности, золотисто-желтые, массой 60-250 г, формируются в кистях по 3-7 шт. Мякоть сочная, сладкого вкуса с гармоничной кислинкой. Созревание плодов пролонгированное, в течение всего сезона, до осенних холодов. Сорт идеален для засолки и цельноплодного консервирования.</t>
  </si>
  <si>
    <t>4680206035844</t>
  </si>
  <si>
    <t>Томат Огородный Колдун 0,05 гр. (Алт/ц) 185799557</t>
  </si>
  <si>
    <t>Среднеспелый сорт. Растение детерминантное, высотой 80-100 см. Плоды цилиндрические, гладкие, красные, массой 52-150 г, не нуждается в пасынковании и подвязке. Сорт отличается хорошей завязываемостью плодов при неблагоприятных условиях, плодоношением до заморозков, устойчивостью к болезням. Незаменим в засолке.</t>
  </si>
  <si>
    <t>4680206035622</t>
  </si>
  <si>
    <t>Томат Патрикеевна 0,05 гр. (Алт/ц)</t>
  </si>
  <si>
    <t>Раннеспелый детерминантный сорт. Плоды ровные, массой 95 г (до 250 г), зрелые плоды имеют ярко-желтую окраску. Великолепный вкус, как в свежем виде, так и в зимних заготовках. Плодоносит в течение всего сезона до глубокой осени.</t>
  </si>
  <si>
    <t>4680206048363</t>
  </si>
  <si>
    <t>Томат Пень 5 шт. (Алт/ц) 181001772</t>
  </si>
  <si>
    <t>Полудетерминантный сорт неприхотлив к почве и уходу, может выращиваться в любых условиях. Высота кустов сорта – от 100 до 120 сантиметров. Плоскоокруглые ягоды обладают красивым красным оттенком. Масса составит 140-160 граммов.</t>
  </si>
  <si>
    <t>4680206006646</t>
  </si>
  <si>
    <t>Томат Президент 2  5 шт. (Алт/ц) 182029654</t>
  </si>
  <si>
    <t>Раннеспелый гибрид для выращивания в открытом грунте. Растение индетерминантное. Плод оранжево-красной окраски, плоскоокруглый, ребристый, плотный, массой 340-360 г., отличных вкусовых качеств, универсальный в использовании. Растение устойчиво к фузариозу и вирусу табачной мозаики.</t>
  </si>
  <si>
    <t>4680206039231</t>
  </si>
  <si>
    <t>Томат Семен Безголовый 0,05 гр.  (Алт/ц)</t>
  </si>
  <si>
    <t>Среднеранний крупноплодный индетерминантный сорт. Куст высотой 150-190 см, мощный. Плоды крупные, плоскоокруглые, слегка ребристые, красного цвета, массой 350-600 г, очень вкусные, сладкие. Выращивать в открытом грунте и под пленочным укрытием.</t>
  </si>
  <si>
    <t>4680206053756</t>
  </si>
  <si>
    <t>Томат Сердцеедка Алтайская 5 шт. (Алт/ц) 181001766</t>
  </si>
  <si>
    <t>Среднеранний (115-120 дней) сорт для теплиц и открытого грунта. Растение детерминантное, высотой до 60-80 см, не требует пасынкования, в открытом грунте не нуждается в подвязке. Плодовые кисти правильные, закладываются через каждый лист. В кисти 4-6 плодов округлой формы с «носиком», напоминающей сердце. Плоды красные, 170-240 г, отдельные до 310 г, обладают высокой транспортабельностью, устойчивы к растрескиванию, хранятся до 2 недель. Сорт хорошо устойчив к возбудителям грибковых и вирусных заболеваний, в том числе к фитофторозу.</t>
  </si>
  <si>
    <t>4680206066145</t>
  </si>
  <si>
    <t>Томат Сибирские Черри 0,1 гр. (Алт/ц)</t>
  </si>
  <si>
    <t>Раннеспелый (90-110 дней) сорт-черри. Растение детерминантное, компактное, высотой 35-60 см. Плоды вишневые, массой 15-35 г, очень вкусные, сладкие. Грозди этих плодов могут продолжительно храниться, вплоть до весны. Сорт очень урожайный. Не поражается болезнями даже в самых плохих условиях. Плодоношение продолжается до холодов. Можно выращивать в комнатных условиях.</t>
  </si>
  <si>
    <t>4680206046901</t>
  </si>
  <si>
    <t>Томат Сибирский Здоровяк 0,05 гр. (Алт/ц)</t>
  </si>
  <si>
    <t>Раннеспелый (100-110 дней) сорт. Растение индетерминантное. Плоды имеют насыщенный красный цвет. Оправдывает свое название: плоды достигают массы 500-700 г даже при высоком урожае. Мякоть сладкая, сочная, мясистая. Отзывчив на минеральные подкормки. Интенсивно-красный цвет плодов свидетельствует о высоком содержании ликопина - природного антиоксиданта, способствующего снижению риска развития онкологических заболеваний, замедлению старения и повышению иммунитета. Данный флавоноид также стимулирует образование костных тканей. Ликопин не боится термообработки и сохраняется в томатном соке. Сорт может по праву считаться одним из самых полезных.</t>
  </si>
  <si>
    <t>4680206048325</t>
  </si>
  <si>
    <t>Томат Сибирский Крепыш 0,05 гр. (Алт/ц) 182029683</t>
  </si>
  <si>
    <t>Среднеспелый (115-120 дней) очень урожайный сорт. Растение индетерминантное, полураскидистое. Первое соцветие закладывается над 8-9 листком, последующие через 3. Плоды округлые, гладкие, глянцевые, плотные, красные, массой 250-330 г. Сорт обладает высокими вкусовыми качествами, используется для приготовления свежих салатов и всех видов консервирования. Толерантен к вирусу табачной мозаики, фузариозу, кладоспориозу и галловой нематоде.</t>
  </si>
  <si>
    <t>4680206035783</t>
  </si>
  <si>
    <t>Томат Сибирский Пируэт 0,05 гр. (Алт/ц) 182029677</t>
  </si>
  <si>
    <t>Раннеспелый (104-108 дней) детерминантный сорт для выращивания в открытом грунте и под пленочными укрытиями. Не нуждается в пасынковании, обладает хорошей завязываемостью. Плоды плотные, цилиндрической формы, красные, блестящие, массой 65-70 г. Идеально подходят для засолки и консервирования. В свежем виде могут храниться до 1 месяца.</t>
  </si>
  <si>
    <t>4680206035776</t>
  </si>
  <si>
    <t>Томат Сибирячок 0,05 гр. (Алт/ц)</t>
  </si>
  <si>
    <t>Мечта огородника: не нуждается в подвязке и пасынковании. Раннеспелый (103-108 дней) урожайный сорт. Растение детерминантное, высотой 60-80 см. Плоды массой 90-95 г, до 200 г, очень плотные, могут храниться в свежем виде до трех  недель. Идеален для консервирования, изготовления соков и соусов.</t>
  </si>
  <si>
    <t>4680206039224</t>
  </si>
  <si>
    <t>Томат Сладкий Шар 0,05 гр. (Алт/ц)</t>
  </si>
  <si>
    <t>Среднеранний (106-110 дней) сорт. Плоды шаровидные, красные, массой 140-300 г. Растение индетерминантное, высотой 100-120 см. Пригодны для переработки и потребления в свежем виде и кратковременного хранения.</t>
  </si>
  <si>
    <t>4680206066114</t>
  </si>
  <si>
    <t>Томат Сладкое Дерево 0,05 гр. (Алт/ц)</t>
  </si>
  <si>
    <t>Скороспелый сорт для открытого грунта и пленочных укрытий. Растение индетерминантное, высотой 1,8-2 м. Плоды темно-красные, округлые, гладкие, плотные, массой 10-15 г, одновременно на кисти созревает до 30 шт. Томатики необыкновенно сладкие, сочные, ароматные. Прекрасно подходят для цельноплодного консервирования и потребления в свежем виде.</t>
  </si>
  <si>
    <t>4680206035516</t>
  </si>
  <si>
    <t>Томат Сливка Желтая 0,05 гр. (Алт/ц)</t>
  </si>
  <si>
    <t>Раннеспелый индетерминантный сорт для открытого грунта и теплиц. Формирует правильные кисти по 20-25 идеально гладких, плотных, очень сладких плодов массой 15-18 г (до 20 г). Обладает  отличными вкусовыми качествами в любом виде. Незаменимый сорт для засола и консервирования. Растение отличается устойчивостью к заболеваниям пасленовых.</t>
  </si>
  <si>
    <t>4680206035653</t>
  </si>
  <si>
    <t>Томат Снегири 0,05 гр. (Алт/ц)</t>
  </si>
  <si>
    <t>Раннеспелый (95-100 дней) сорт для выращивания в открытом грунте и под пленочными укрытиями. Растение детерминантное, высотой 60-80 см. Плоды округлой формы, ровные, розово-малиновой окраски, массой 90-200 г. Использование плодов в свежем виде и для засолки. Хорошо хранится.</t>
  </si>
  <si>
    <t>4680206036667</t>
  </si>
  <si>
    <t>Томат Сольный Номер 0,05 гр. (Алт/ц)</t>
  </si>
  <si>
    <t>Среднеранний детерминантный сорт с высокой энергией плодообразования. Плоды красные, грушевидной формы, плотные, лежкие, массой 32 г. Отлично подходит для цельноплодного консервирования.</t>
  </si>
  <si>
    <t>4680206039293</t>
  </si>
  <si>
    <t>Томат Спиридон 0,05 гр. (Алт/ц)</t>
  </si>
  <si>
    <t>Раннеспелый (90 дней) сорт для открытого грунта. Растение штамбовое, детерминантное, высотой 40-50 см. Плоды плоскоокруглые, красные, массой 40-60 г. Для раннего потребления в свежем виде, поздние плоды хороши в засолке. Высокое содержание витамина «С» и сахаров делает вкус неповторимым.</t>
  </si>
  <si>
    <t>4680206055606</t>
  </si>
  <si>
    <t>Томат Феня 10 шт. (Алт/ц)</t>
  </si>
  <si>
    <t>Ультраранний (75-80 дней) гибрид для открытого грунта и теплиц. Растение детерминантное, высотой 60-70 см. Характеризуется превосходной завязываемостью плодов даже в неблагоприятных условиях, высокой урожайностью и дружным созреванием. В кисти по 5-7 плодов. Плоды округлые и плоскоокруглые, плотные, массой 110-120 г, красные, не растрескиваются, не поражаются вершинной гнилью. Гибрид устойчив к табачной мозаике, мало поражается фитофторой и кладоспориозом. Обладает гармоничным сладким с кислинкой вкусом и насыщенным ароматом.</t>
  </si>
  <si>
    <t>4680206037831</t>
  </si>
  <si>
    <t>Томат Фиеста F1 0,05 гр.  (Алт/ц)</t>
  </si>
  <si>
    <t>Раннеспелый (117-122 дня) детерминантный (высотой 80-100 см) гибрид. Плоды плотные, выравненные, ярко-красного цвета, массой 110-150 г, отлично подходят для консервирования и транспортировки. В открытом грунте можно выращивать без пасынкования, без подвязки, с формированием в пленочных укрытиях.</t>
  </si>
  <si>
    <t>4680206053763</t>
  </si>
  <si>
    <t>Томат Цыпочка Алтайская 10 шт. (Алт/ц)</t>
  </si>
  <si>
    <t>Среднеспелый (115-120 дней) очень урожайный индетерминантый сорт для выращивания в теплице и открытом грунте. Растение высотой 1,7-2 м, требует пасынкования и подвязки. Плоды плотные, без пустот, интересной, немного вытянутой формы с носиком, насыщенного желтого цвета, сочные, сладкие, массой 70-100 г. На одной кисти формируется до 40 плодов. Сорт непрерывно плодоносит с июня по октябрь. Идеально подходит для цельноплодного консервирования.</t>
  </si>
  <si>
    <t>4680206035523</t>
  </si>
  <si>
    <t>Томат Чудо Алтая 0,05 гр. (Алт/ц)</t>
  </si>
  <si>
    <t>Среднеспелый сорт с хорошей завязываемостью плодов. Растение детерминантное. Плоды крупные, мясистые, массой 180 г (на первой кисти до 500 г), красные, очень вкусные, сочные, на кисти 3-5 плодов. Используется для употребления в свежем виде. Особенно хорош для салатов, соков и кетчупов.</t>
  </si>
  <si>
    <t>4680206057839</t>
  </si>
  <si>
    <t>Томат Шурочка 0,05 гр. (Алт/ц)</t>
  </si>
  <si>
    <t>Среднеспелый (110-116 дней) сорт для открытого и защищенного грунта. Растение детерминантное, штамбовое, с мощным стеблем и крупными темными изумрудно-зелеными листьями картофельного типа; в открытом грунте достигает высоты 40-50 см, в теплице – 80-100 см. Плоды крупные, плоско-округлые, насыщенно-красные, слаборебристые, средней массой 90-120 г, отдельные до 180 г, формируются в кистях по 3-5 шт., имеют насыщенный аромат и кисло-сладкий вкус. Сорт не требует формировки, в открытом грунте можно выращивать без подвязки. Плоды устойчивы к растрескиванию, растение имеет хороший иммунитет к ряду заболеваний пасленовых, стабильно плодоносит даже в жарком климате, плоды характеризуются хорошей лежкостью и транспортабельностью. Сорт подходит для употребления плодов в свежем виде, хранения, приготовления томатной пасты, переработки и консервирования.</t>
  </si>
  <si>
    <t>4680206043870</t>
  </si>
  <si>
    <t>Томат Янтарный Мед 0,05 гр. (Алт/ц)</t>
  </si>
  <si>
    <t>Среднеранний (95-105 дней) сорт для выращивания в открытом грунте и под пленочными укрытиями. Растение детерминантное, высотой до 1 м. Плоды ярко-оранжевые, плоскоокруглые, массой 90-400 г. На одном растении формируется до 20-30 плодов, созревающих поочередно, в течение всего сезона. Мякоть сладкая, сочная, в центре плода - рассыпчатая, по консистенции напоминает очень спелую дыню. Сорт универсальный  в  использовании.</t>
  </si>
  <si>
    <t>4680206040053</t>
  </si>
  <si>
    <t>Тортарелло Бареззе (Армянский огурец) 0,3 г (Алт/ц) 182029642</t>
  </si>
  <si>
    <t>Армянский чудо-огурец с экзотическим видом. Позднеспелый (70-80 дней) сорт для выращивания в открытом грунте и теплицах. Растение сильнорослое, главная плеть длиной 2,5-3 м. На растении вызревает 5-10 плодов. Плоды цилиндрические, с ярко-выраженной ребристостью, темно-зеленые, длиной до 50 см, массой до 1 кг. Предпочтительно в пищу употреблять молодые плоды. Мякоть хрустящая, с нежным вкусом без какого-либо намека на горечь, с очень насыщенным ароматом</t>
  </si>
  <si>
    <t>4620009638484</t>
  </si>
  <si>
    <t>Тыква Пампушка 2шт (Алт/ц)</t>
  </si>
  <si>
    <t>Тыква</t>
  </si>
  <si>
    <t>Среднеранний сорт (110-130 дней) столовой тыквы. Растения с длинными плетями до 10 м. Плоды светло-серого цвета, массой 4-7 кг, мякоть оранжевая, толщиной 5-8 см, плотная, очень сладкая. Форма плодов сплюснутая. Сорт отличается высокими вкусовыми качествами, хорошей лежкостью, плоды могут храниться до нового урожая.</t>
  </si>
  <si>
    <t>4680206046505</t>
  </si>
  <si>
    <t>Фасоль Курочка Ряба 5 гр. (Алт/ц)</t>
  </si>
  <si>
    <t>Фасоль</t>
  </si>
  <si>
    <t>Среднеранний (от полных всходов до наступления технической спелости – 55 дней) кустовой  сорт. Растение низкорослое, высотой 40-60 см. Бобы слабоизогнутые, широкие, окраска в полной спелости – желтая с фиолетовыми разводами. В створках и швах отсутствует пергаментный слой и волокно. Цвет зерен пятнистый.  Растения неприхотливые и холодостойкие, могут выдержать даже сибирский суровый климат. Вкусовые качества отличные, с повышенным содержанием сахаров и витаминов. Пригоден для использования в кулинарии и консервирования.</t>
  </si>
  <si>
    <t>4630043104043</t>
  </si>
  <si>
    <t>Ц Агератум Леда 0,1 гр. (Алт/ц)</t>
  </si>
  <si>
    <t>цв однолетние</t>
  </si>
  <si>
    <t>Декоративное растение, выращиваемое как однолетник. Формирует небольшой разветвленный кустик высотой около 20 см с крепкими побегами. Особую декоративность агератуму придают душистые бело-голубые цветки-корзинки диаметром около 2 см. Они собраны в верхушечные плотные соцветия, которые расположены буквально по всему кустику. Цветение начинается в начале июня и длится до самых заморозков. Является непременным компонентом парадных клумб, бордюров и ковровых цветников.</t>
  </si>
  <si>
    <t>4680206047076</t>
  </si>
  <si>
    <t>Ц Бархатцы Антигуа Желтый карлик 5 шт. (Алт/ц)</t>
  </si>
  <si>
    <t>Нетребовательны к продолжительности светового дня. Кустики компактные, низкорослые, не вытягиваются даже в загущенных посадках. Цветки интенсивно-желтые, очень крупные, практически не повреждаются ветром и дождем. Цветение раннее и продолжительное. Гибрид подходт для выращивания в вазонах, контейнерах, кашпо и рабатках, в качестве бордюрной культуры. Долго сохраняет декоративность. Высота растения: 25-30 см. Ширина растения: 20-25 см. Диаметр соцветия: 8-12 см.</t>
  </si>
  <si>
    <t>4680206047083</t>
  </si>
  <si>
    <t>Ц Бархатцы Антигуа Золотой Шар 5 шт. (Алт/ц)</t>
  </si>
  <si>
    <t>Нетребовательны к продолжительности светового дня. Кустики компактные, низкорослые, не вытягиваются даже в загущенных посадках. Цветки золотисто-желтые, очень крупные, практически не повреждаются ветром и дождем. Цветение раннее и продолжительное. Гибрид подходт для выращивания в вазонах, контейнерах, кашпо и рабатках, в качестве бордюрной культуры. Долго сохраняет декоративность. Высота растения: 25-30 см. Ширина растения: 20-25 см. Диаметр соцветия: 8-12 см.</t>
  </si>
  <si>
    <t>4680206047106</t>
  </si>
  <si>
    <t>Ц Бархатцы Антигуа Оранжевый Апельсин 5 шт. (Алт/ц)</t>
  </si>
  <si>
    <t>Нетребовательны к продолжительности светового дня. Кустики компактные, низкорослые, не вытягиваются даже в загущенных посадках. Цветки апельсиновой окраски, очень крупные, практически не повреждаются ветром и дождем. Цветение раннее и продолжительное. Гибрид подходт для выращивания в вазонах, контейнерах, кашпо и рабатках, в качестве бордюрной культуры. Долго сохраняет декоративность. Высота растения: 25-30 см. Ширина растения: 20-25 см. Диаметр соцветия: 8-12 см.</t>
  </si>
  <si>
    <t>4680206023834</t>
  </si>
  <si>
    <t>Ц Бархатцы Марвел золотые 5 шт. (Алт/ц)</t>
  </si>
  <si>
    <t>Гибрид, характеризующийся ранним и длительным цветением, особой насыщенностью окрасок, выравненностью габитуса, а также высокой погодоустойчивостью. Растения хорошо себя чувствуют в полутени, в условиях короткого светового дня зацветает быстрее. Формирует прочные цветоносы и крупные шарообразные цветки с плотными лепестками золотисто-желтого цвета. Долго сохраняет декоративность в срезке. Идеально подходит для ландшафтного озеленения. Высота растения: 35-45 см. Диаметр цветка: 7 см.</t>
  </si>
  <si>
    <t>4680206023858</t>
  </si>
  <si>
    <t>Ц Бархатцы Марвел оранжевые 5 шт. (Алт/ц)</t>
  </si>
  <si>
    <t>Гибрид, характеризующийся ранним и длительным цветением, особой насыщенностью окрасок, выравненностью габитуса, а также высокой погодоустойчивостью. Растения хорошо себя чувствуют в полутени, в условиях короткого светового дня зацветает быстрее. Формирует прочные цветоносы и крупные шарообразные цветки с плотными лепестками насыщенно-оранжевого цвета. Долго сохраняет декоративность в срезке. Идеально подходит для ландшафтного озеленения. Высота растения: 35-45 см. Диаметр цветка: 7 см.</t>
  </si>
  <si>
    <t>4620009639771</t>
  </si>
  <si>
    <t>Ц Бегония Фортун F1 Дип Ред клубневая 5 шт. (Алт/ц)</t>
  </si>
  <si>
    <t>цв комнатные</t>
  </si>
  <si>
    <t>Компактное растение, не вытягивается. Подходит для выращивания в полутени. Может переносить кратковременные засушливые периоды, быстро восстанавливается. Характеризуется ранним и очень продолжительным цветением. Цветки насыщенного красного или алого цвета, декоративная листва в зависимости от освещения от темно-зеленого до рубиново-красного цвета. Выращивается в кашпо, балконных ящиках и в саду в бордюрных посадках. Высота растения: 20-30 см. Ширина растения: 18-20 см. Диаметр цветка: 7-8 см.</t>
  </si>
  <si>
    <t>4680206019639</t>
  </si>
  <si>
    <t>Ц Виола Махровые Узоры Синяя 5 шт. (Алт/ц)</t>
  </si>
  <si>
    <t>цв двулетние</t>
  </si>
  <si>
    <t>Уникальный гибрид виолы с роскошными сине-фиолетовыми супергофрированными цветками. Растение формирует компактный ровный габитус, предпочитает легкую полутень и прохладу, которая усиливает гофрированность лепестков. Раннее цветение.</t>
  </si>
  <si>
    <t>4680206042453</t>
  </si>
  <si>
    <t>Ц Виола Пауэр Ягодное Чудо 5 шт. (Алт/ц)</t>
  </si>
  <si>
    <t>Восхитительная крупноцветковая виола серии Пауэр формирует один из самых больших цветков! Уникальные оттенки, мощная сила цветения и генетически компактный габитус делают ее незаменимой в ландшафтном озеленении. Растения не вытягиваются, устойчивы к жаркому климату, отлично цветут даже в условиях короткого светового дня зимой.</t>
  </si>
  <si>
    <t>4680206059949</t>
  </si>
  <si>
    <t>Ц Гипоэстес Сплеш селект Вайт 5 шт. (Алт/ц)</t>
  </si>
  <si>
    <t>Декоративнолиственное комнатное растение, устойчиво к жаре, затенению и непродолжительным засушливым периодам. Растение низкорослое и широкое, быстро растет, хорошо ветвится. Крупные темно-зеленые листья украшены эффектным рисунком из белых пятен и крапа. Можно выращивать в открытом грунте в качестве летника (растение не зимостойкое). Высота растения: 10-15 см. Ширина растения: 30-35 см.</t>
  </si>
  <si>
    <t>4680206059932</t>
  </si>
  <si>
    <t>Ц Гипоэстес Сплеш селект Роуз 5 шт. (Алт/ц)</t>
  </si>
  <si>
    <t>Декоративнолиственное комнатное растение, устойчиво к жаре, затенению и непродолжительным засушливым периодам. Растение низкорослое и широкое, быстро растет, хорошо ветвится. Крупные темно-зеленые листья украшены эффектным рисунком из розовых пятен и крапа. Можно выращивать в открытом грунте в качестве летника (растение не зимостойкое). Высота растения: 10-15 см. Ширина растения: 30-35 см.</t>
  </si>
  <si>
    <t>4680206039415</t>
  </si>
  <si>
    <t>Ц Пеларгония Дансер F2 Ред зональная 4 шт. (Алт/ц)</t>
  </si>
  <si>
    <t>Бюджетная гибридная пеларгония второго поколения. Формирует компактные выравненные кустики с обильной листвой и прочными стеблями. Цветение раннее и обильное, простые крупные цветки собраны в пышные шапки ярко-красных соцветий. Используются в озеленении лоджий, веранд, балконов, а также для создания ярких цветочных композиций в саду. В комнатных условиях выращивается как многолетник, в саду – в качестве однолетнего растения. Высота растения: 30-35 см. Ширина куста: 25-35 см. Диаметр соцветия: 10-12 см.</t>
  </si>
  <si>
    <t>4680206054999</t>
  </si>
  <si>
    <t>Ц Пеларгония Дансер F2 Салмон зональная 4 шт. (Алт/ц)</t>
  </si>
  <si>
    <t>Бюджетная гибридная пеларгония второго поколения. Формирует компактные выравненные кустики с обильной листвой и прочными стеблями. Цветение раннее и обильное, простые крупные цветки собраны в пышные шапки лососевых соцветий. Используются в озеленении лоджий, веранд, балконов, а также для создания ярких цветочных композиций в саду. В комнатных условиях выращивается как многолетник, в саду – в качестве однолетнего растения. Высота растения: 30-35 см. Ширина куста: 25-35 см. Диаметр соцветия: 10-12 см.</t>
  </si>
  <si>
    <t>4680206062338</t>
  </si>
  <si>
    <t>Ц Петуния Кан Кан Арлекин Черри роуз крупноцветковая F1 5 шт. (Алт/ц)</t>
  </si>
  <si>
    <t>Неприхотливый в уходе, экстремально устойчивый к условиям выращивания гибрид крупноцветковой петунии: устойчив к засухе, дождю, ветру и пониженным температурам. Очень длительный период цветения. Хорошо ветвится даже без прищипывания, формируя компактный шарообразный кустик. Цветки с оборчатым краем, яркой розово-вишневой окраски с контрастными белыми акцентами. Хорошо смотрится в массовых посадках и цветочных композициях, подходит для вазонов и бордюрных посадок. Высота растения: 20-25 см. Ширина растения: 20-25 см. Диаметр цветка: 7-8 см.</t>
  </si>
  <si>
    <t>4680206056504</t>
  </si>
  <si>
    <t>Ц Петуния Лавина Белая амп. 10 шт. (Алт/ц)</t>
  </si>
  <si>
    <t>Раннецветущая петуния. Формирует обильно цветущий куст, отлично ветвится. Цветки крупные, белые. Цветение непрерывное и продолжительное, растение быстро восстанавливается при повреждениях. Подходит для выращивания в вазонах, балконных ящиках и на клумбах. Высота растения: 35-50 см. Диаметр цветка: 7-9 см.</t>
  </si>
  <si>
    <t>4680206061294</t>
  </si>
  <si>
    <t>Ц Петуния Лимбо Вайт 7 шт. (Алт/ц)</t>
  </si>
  <si>
    <t>Генетически карликовая петуния, не вытягивается, не «палкуется», кустик остается компактным и аккуратным в течение всего сезона, подходит для выращивания в загущенных посадках. Цветки крупные, белой окраски. Идеально подходит для массовых бордюрных посадок, выращивания в кашпо и контейнерах, использования в ландшафтном дизайне и композициях. Высота растения: 15-20 см. Ширина растения: 20-25 см. Диаметр цветка: 10-12 см.</t>
  </si>
  <si>
    <t>4680206061317</t>
  </si>
  <si>
    <t>Ц Петуния Лимбо Дип Парпл 7 шт. (Алт/ц)</t>
  </si>
  <si>
    <t>Растение имеет очень хорошее ветвление, не перерастает и не вытягивается в течение всего сезона. Не нуждается в регуляторах роста. Образует компактные кустики, покрытые крупными, до 12 см в диаметре, темно-пурпурными цветками.</t>
  </si>
  <si>
    <t>4680206061355</t>
  </si>
  <si>
    <t>Ц Петуния Мамбо Вайт 7 шт. (Алт/ц)</t>
  </si>
  <si>
    <t>Генетически карликовая многоцветковая петуния, не вытягивается, кустик остается компактным и аккуратным в течение всего сезона. Цветки крупные, нежной белой окраски. Идеально подходит для массовых посадок с высокой плотностью, бордюрных посадок, использования в ландшафтном дизайне и композициях. Высота растения: 15-20 см. Ширина растения: 20-25 см. Диаметр цветка: 9-10 см.</t>
  </si>
  <si>
    <t>4680206061362</t>
  </si>
  <si>
    <t>Ц Петуния Мамбо Парпл 7 шт. (Алт/ц)</t>
  </si>
  <si>
    <t>Генетически карликовая многоцветковая петуния, не вытягивается, кустик остается компактным и аккуратным в течение всего сезона. Цветки крупные, насыщенной темно-фиолетовой окраски со светлым центром. Идеально подходит для массовых посадок с высокой плотностью, бордюрных посадок, использования в ландшафтном дизайне и композициях. Высота растения: 15-20 см. Ширина растения: 20-25 см. Диаметр цветка: 9-10 см.</t>
  </si>
  <si>
    <t>4680206055798</t>
  </si>
  <si>
    <t>Ц Петуния Романтика F1 Софи крупноцветковая 5 шт. (Алт/ц)</t>
  </si>
  <si>
    <t>Крупноцветковая неприхотливая петуния с уникальной окраской цветков: лепестки винно-пурпурной окраски с желтым краем. Формирует хорошо ветвящиеся кустики. Цветение обильное и непрерывное с весны до поздней осени, благодаря гену мужской стерильности. Не требует удаления увядших соцветий. Устойчива к перепаду температур от -5°С до +40°С и неблагоприятным атмосферным воздействиям. Обладает иммунитетом к серой гнили. Подходит для выращивания в вазонах, контейнерах, подвесных кашпо, балконных ящиках, использования в бордюрных посадках, на клумбах. Высота растения: 25-30 см. Диаметр цветка: 8-12 см.</t>
  </si>
  <si>
    <t>4680206018595</t>
  </si>
  <si>
    <t>Ц Петуния Хулахуп Синяя 10 шт. (Алт/ц)</t>
  </si>
  <si>
    <t>Нарядный сорт крупноцветковой петунии серии Хулахуп отличается суперранним цветением, более яркой окраской цветков и волнистым краем лепестков. Растения компактные, густоветвистые, с крупными синими с белой каймой по краю цветками диаметром до 10 см.</t>
  </si>
  <si>
    <t>4680206022592</t>
  </si>
  <si>
    <t>Ц Смесь Бордюрная цветочная 0,5 гр. (Алт/ц)</t>
  </si>
  <si>
    <t>цв многолетние</t>
  </si>
  <si>
    <t>Гармонично подобранная смесь из низкорослых (до 25 см) красивоцветущих однолетников. В состав входят: календула лекарственная, каллистефус, диморфотека выемчатая, эшшольция калифорнийская, гайллардия красивая, гелиптерум розовый, иберис зонтичный, лён крупноцветковый, немофила Менциса и др. Применяется для оформления бордюров, клумб, рабаток, для устройства разграничительных линий вдоль дорожек и аллей.</t>
  </si>
  <si>
    <t>4680206022608</t>
  </si>
  <si>
    <t>Ц Смесь В последний момент цветочная 0,5 гр. (Алт/ц)</t>
  </si>
  <si>
    <t>Гармонично подобранная декоративная смесь из высоких (до 70 см) рано зацветающих  и красивоцветущих однолетников. В состав смеси входят следующие растения: львиный зев, брахикома иберисолистная, ноготки лекарственные, каллистефус китайский, хризантема болотная, вьюнок трехцветный, гвоздика китайская, эшшольция калифорнийская, годеция крупноцветковая, иберис зонтичный, душистый горошек, льнянка марокканская и др. Используется  для оформления бордюров, клумб, рабаток, для устройства разграничительных линий вдоль дорожек и аллей.</t>
  </si>
  <si>
    <t>4680206000293</t>
  </si>
  <si>
    <t>Ц Смесь Ленивица многолет. низк. 0,3 гр. (Алт/ц)</t>
  </si>
  <si>
    <t>4680206064899</t>
  </si>
  <si>
    <t>Ц Смесь Память сердца многолетняя теневыносливая 0,5 гр. (Алт/ц)</t>
  </si>
  <si>
    <t>Смесь неприхотливых многолетних теневыносливых растений поможет Вам создать небольшой уютный садик. В составе смеси более 10 видов растений (алиссум, астра альпийская, маргаритка многолетняя, гравилат, лен многолетний, незабудка альпийская, вероника колосистая и др.). Смесь прекрасно подходит для каменистых садиков и альпийских горок. Великолепно выглядит при выращивании на клумбах, рабатках, бордюрах, за вегетационный сезон несколько раз меняет свой облик.</t>
  </si>
  <si>
    <t>4680206000316</t>
  </si>
  <si>
    <t>Ц Смесь Уютный уголок одн. балкон. 0,3 гр. (Алт/ц)</t>
  </si>
  <si>
    <t>Красочная смесь неприхотливых однолетников – изобилие цветов на вашем балконе. Содержит порядка 23 видов растений высотой от 20 до 40 см, имеющих разнообразную окраску и форму цветка. В состав входят: иберис, фацелия, душистый горошек, петуния гибридная, бархатцы низкорослые, львиный зев, портулак и многие другие компактные красивоцветущие виды. Создаст уютный уголок на Вашем балконе, беседке или веранде.</t>
  </si>
  <si>
    <t>4680206000323</t>
  </si>
  <si>
    <t>Ц Смесь Цветущий забор 0,5 гр. (Алт/ц)</t>
  </si>
  <si>
    <t>Искусно подобранная смесь яркоцветущих однолетников будет радовать Вас в течение всего сезона. В состав смеси входят около 15 видов высокорослых непрерывно цветущих растений (циннии, васильки, космеи и пр.), которые украсят пространство у заборов, беседок и веранд. Великолепное сочетание окрасок придаст Вашему участку настоящую прелесть лета.</t>
  </si>
  <si>
    <t>4680206023179</t>
  </si>
  <si>
    <t>Чечевица Зеленая 5 гр. (Алт/ц) 188203605</t>
  </si>
  <si>
    <t>Горох</t>
  </si>
  <si>
    <t>Однолетнее бобовое растение. Семена содержат до 35% белка, богаты минеральными веществами, витаминами группы В, в проростках содержится витамин С. Растение около 50 см высотой, стебель прямостоячий, маловетвистый. Бобы крупные, округлой, чуть выпуклой формы, до 7 мм в диаметре. Имеет очень приятный насыщенный вкус. Чечевица считается экологически чистым продуктом, т.к. не накапливает вредных веществ. Блюда из чечевицы рекомендуются для людей, больных сахарным диабетом, т.к. она снижает уровень холестерина и глюкозы в крови, а также способствуют правильной работе желудочно-кишечного тракта.</t>
  </si>
  <si>
    <t>4680206023186</t>
  </si>
  <si>
    <t>Чечевица Коричневая 5 гр. (Алт/ц) 186563322</t>
  </si>
  <si>
    <t>Однолетнее бобовое растение. Семена содержат до 35% белка, богаты минеральными веществами, витаминами группы В, в проростках содержится витамин С. Чечевица считается экологически чистым продуктом, т.к. не накапливает вредных веществ. Растение около 50 см высотой, стебель прямостоячий, маловетвистый. Бобы крупные, округлой, чуть выпуклой формы, до 7 мм в диаметре. Имеет очень приятный насыщенный вкус.</t>
  </si>
  <si>
    <t>4601729085758</t>
  </si>
  <si>
    <t>Анис Айболит (А\ц)</t>
  </si>
  <si>
    <t>Зеленные, лекарственные</t>
  </si>
  <si>
    <t>Аэлита</t>
  </si>
  <si>
    <t>Лекарственное, медоносное и декоративное растение. Среднеспелый сорт, от всходов до срезки на зелень 40-55 дней. Растение прямостоячее, высотой 60-80 см. Листья, стебли и плоды содержат эфирные масла, которые придают растению характерный легкий фруктовый аромат и приятный освежающий сладковато-пряный вкус. Молодую зелень используют в овощных и фруктовых салатах, семена добавляют в разнообразную выпечку и сладкие блюда. Особый вкус анис придает блюдам из капусты, моченым яблокам, консервированным патиссонам и кабачкам. В русской кухне анисом ароматизируют квас и кисели.</t>
  </si>
  <si>
    <t>4601729047619</t>
  </si>
  <si>
    <t>Арбуз Рафинад 1г  (А\ц)</t>
  </si>
  <si>
    <t>Арбуз</t>
  </si>
  <si>
    <t>Среднеранний сорт. Период от полных всходов до созревания плодов 78-80 дней. Плоды округлые, массой 3,5-4,0 кг. Кожура тонкая, плотная, светло-зеленая с серой пятнистостью. Мякоть ярко-красная, сочная, очень сладкая и вкусная.</t>
  </si>
  <si>
    <t>4601729165337</t>
  </si>
  <si>
    <t>Артишок Красавец 1г  (А/ц)</t>
  </si>
  <si>
    <t>Многолетнее теплолюбивое растение высотой 90-110 см, в условиях средней полосы выращивается как однолетняя рассадная культура. Период от полных всходов до технической спелости 160-165 дней. В пищу используются мясистые соцветия массой 70-120 г.</t>
  </si>
  <si>
    <t>4601729180699</t>
  </si>
  <si>
    <t>Базилик Американский лимон 0,2 г (А\ц)</t>
  </si>
  <si>
    <t>Раннеспелый сорт с сильным лимонным ароматом. Период от полных всходов до начала хозяйственной годности 50-52 дня. Растения раскидистые, высотой 30-35 см, диаметром до 35 см.</t>
  </si>
  <si>
    <t>4601729061660</t>
  </si>
  <si>
    <t>Базилик Вкус корицы 0,2г (А\ц)</t>
  </si>
  <si>
    <t>Раннеспелый сорт базилика с коричным ароматом. Прекрасно подходит для выращивания в домашних условиях и в открытом грунте. В контейнере на подоконнике компактные растения вегетируют круглый год. Первые душистые листочки срывают уже на 28-32 день после появления всходов. Их используют в свежем и сушеном виде в домашней кулинарии и при консервировании овощей.</t>
  </si>
  <si>
    <t>4601729174315</t>
  </si>
  <si>
    <t>Базилик Комнатный, смесь  (А/ц)</t>
  </si>
  <si>
    <t>Домашние зелень и овощи — это приятное и полезное дополнение к вашему рациону. Контрастный дуэт мелколистного карликового базилика. Включает сорта: Компатто и Пурпурный шар. Аккуратные шаровидные кустики отличаются активным боковым ветвлением, облиственность побегов очень высокая. При соблюдении освещенности листья отличаются насыщенной окраской.</t>
  </si>
  <si>
    <t>4601729152245</t>
  </si>
  <si>
    <t>Базилик Наполитано (А\ц)</t>
  </si>
  <si>
    <t>Сорт среднеспелый, с крупными, сильно гофрированными, ароматными листьями. Благодаря внешней схожести с салатом латуком часто именуется . Растение крепкое, компактное, высотой около 35-40 см. Подходит для выращивания в контейнерах и горшках. Первый урожай свежей зелени можно собирать через 30-35 дней после появления всходов.</t>
  </si>
  <si>
    <t>4601729154225</t>
  </si>
  <si>
    <t>Базилик Наполитано красный (А\ц)</t>
  </si>
  <si>
    <t>Краснолистный базилик в лучших традициях Италии! Сорт среднеспелый, с крупными, сильно гофрированными, ароматными листьями. Благодаря внешней схожести с салатом латуком часто именуется Napolitano"LETTUCE-LEAF". Растение крепкое, компактное, высотой около 35-40 см. Подходит для выращивания в контейнерах и горшках.</t>
  </si>
  <si>
    <t>4601729151651</t>
  </si>
  <si>
    <t>Базилик Перпл Раффлс (А\ц)</t>
  </si>
  <si>
    <t>Известный своей красотой, вкусом и легкостью выращивания сорт американской селекции от компании PanAmerican Seed. Победитель All-America Selections. Период от всходов до цветения – 45-50 дней. Растение высотой 45-60 см, с большими блестящими листьями. Они обладают сладким ароматом с мягким вкусом аниса. Урожайность зелени – 2-3 кг/м2.</t>
  </si>
  <si>
    <t>4601729180682</t>
  </si>
  <si>
    <t>Базилик Ред болл (А\ц)</t>
  </si>
  <si>
    <t>Уникальный сорт с эффектным внешним видом. Очень ароматный и приятный на вкус. Плотные компактные кустики отличаются небольшими размерами (? 25-35 см) и насыщенным пурпурным цветом. При затенении часть листьев становится зеленой, что придает растениям еще большей изысканности. Сорт можно выращивать в горшках на солнечном балконе и подоконнике, в открытом и защищенном грунте.</t>
  </si>
  <si>
    <t>4601729062001</t>
  </si>
  <si>
    <t>Базилик Фиолетовый крупнолистный (А\ц)</t>
  </si>
  <si>
    <t>Скороспелый сорт, период от всходов до начала хозяйственной годности 40-42 дня. Кустики компактные, хорошо облиственные, высотой 20-25 см, массой 150-200 г. Листья и стебли с приятным перечно-гвоздичным ароматом.</t>
  </si>
  <si>
    <t>4601729174346</t>
  </si>
  <si>
    <t>Базилик Фиолетовый кучерявый 0,2 г (А\ц)</t>
  </si>
  <si>
    <t>Домашние зелень и овощи - это приятное и полезное дополнение к вашему рациону. Раннеспелый сорт с длительной отдачей урожая. Густые шаровидные кустики великолепно ветвятся. При соблюдении освещенности листья отличаются насыщенной антоциановой окраской. Обилие их на растении позволяет регулярно срывать свежую зелень.</t>
  </si>
  <si>
    <t>4601729183331</t>
  </si>
  <si>
    <t>Баклажан Бомбовоз (А\ц)</t>
  </si>
  <si>
    <t>Баклажан</t>
  </si>
  <si>
    <t>Сорт раннеспелый, от массовых всходов до плодоношения – 100-110дней. Формирует компактные растения высотой около 80 см. Плод эллипсовидной формы, длиной 16 см, диаметром 9 см, средняя масса товарного плода 200-350 (до 500) г.</t>
  </si>
  <si>
    <t>4601729097751</t>
  </si>
  <si>
    <t>Баклажан Заморский полосатик 0,3г  (А\ц)</t>
  </si>
  <si>
    <t>Раннеспелый сорт, период от всходов до плодоношения 105-117 дней. Растения полураскидистые, высотой 110-120 см. Плоды обратнояйцевидной формы, длиной 15-20 см, O8-10 см, массой 400-500 г (отдельные до 900 г). Мякоть беловатая, без горечи, отличного вкуса.</t>
  </si>
  <si>
    <t>4601729164989</t>
  </si>
  <si>
    <t>Баклажан Мурмаш 10 шт. (А\ц) 182511335</t>
  </si>
  <si>
    <t>Очень урожайный гибрид раннего срока созревания. Период от всходов до начала сбора плодов 100-115 дней. Кусты, высотой 60-70 см, усыпаны красивыми темно-фиолетовыми плодами. Баклажаны, средней массой 300-400 г, плотные, с нежной мякотью. Отлично подходят для кулинарии, консервирования и приготовления икры. Урожайность 4-6 кг/м2.</t>
  </si>
  <si>
    <t>4601729175565</t>
  </si>
  <si>
    <t>Баклажан Хозяин-барин (А\ц) 182511337</t>
  </si>
  <si>
    <t>Раннеспелый сорт для открытого грунта и пленочных укрытий. От всходов до начала технической спелости первых плодов 105-115 дней. Растения компактные, высотой 60-80 см. Плоды массой 300-600 г. Мякоть белая, плотная, без горечи. Вкусовые качества после кулинарной обработки отличные. Урожайность под пленкой 5-6 кг/м2.</t>
  </si>
  <si>
    <t>4601729158018</t>
  </si>
  <si>
    <t>Баклажан Ча-ча-ча 15 шт. (А\ц) 182511330</t>
  </si>
  <si>
    <t>Ультраранний «полосатый» конвейер – эталон вкуса и продуктивности! Гибрид универсален –показывает стабильно высокую завязываемость плодов в открытом грунте, в теплице и в ограниченном объеме грунта (на 1 куст требуется 5-10 л почвы). Растения компактные, высотой в горшке около 30-35 см (в о/г – около 50 см, в з/г – около 1 м). В каждой кисти формируется 5-12 плодов (в о/г 4-5 шт.). Первые баклажаны собирают через 85-90 дней после всходов. При выращивании в горшках средняя масса плода 35-40 г, первые – до 100 г (в теплице – до 200 г).</t>
  </si>
  <si>
    <t>4601729173516</t>
  </si>
  <si>
    <t>Баклажан Черный русский (А\ц)</t>
  </si>
  <si>
    <t>Крупноплодный раннеспелый сорт, период вегетации 100-115 дней. Растение компактное, с короткими междоузлиями, высота 50-60 см. Плоды округлоовальные, с глянцевой темно-фиолетовой поверхностью, массой 200-250 г. Мякоть белая, без горечи.</t>
  </si>
  <si>
    <t>4601729127250</t>
  </si>
  <si>
    <t>Бамия Бомбей (А/ц)</t>
  </si>
  <si>
    <t>Сравнительно редкое овощное растение из семейства Мальвовых. Травянистый однолетник с мощным стержневым корнем. Стебель толстый, в южных регионах достигает высоты 2 м. В пищу используют молодые 3-4-дневные завязи-коробочки массой около 10 г с недозрелыми семенами. При хорошем уходе на одном растении формируется до 30 завязей. Снимают урожай через 65-75 дней после посева семян, при высоте растений 60 см. Плоды являются диетическим низкокалорийным продуктом с большим количеством пектина..</t>
  </si>
  <si>
    <t>4601729180187</t>
  </si>
  <si>
    <t>Бамия Бургунди (А/ц)</t>
  </si>
  <si>
    <t>Набирающая популярность однолетняя овощная культура. Растет быстро, начинает плодоносить уже на 55-65 день после всходов и продолжает отдавать урожай до первых заморозков. Растения мощные, экзотического вида, в средней полосе вырастают до 120-150 см, в южных регионах – до 200 см. В пищу употребляют молодые 3-6 дневные завязи (коробочки) массой по 10-30 г. Вкус у плодов необычный, чем-то напоминает баклажан и спаржу, но более нежный и пикантный. Их используют в свежем виде в салатах, для приготовления супов и гарниров. Плоды бамии низкокалорийные и очень рекомендуются в диетическом питании.</t>
  </si>
  <si>
    <t>4601729157844</t>
  </si>
  <si>
    <t>Бобы Белая гвардия (А\ц)</t>
  </si>
  <si>
    <t>Бобы</t>
  </si>
  <si>
    <t>Среднеранний, урожайный сорт. От всходов до первой уборки бобов 70-85 дней. Растения высотой 85-105 см.</t>
  </si>
  <si>
    <t>4601729104145</t>
  </si>
  <si>
    <t>Бобы Белый жемчуг 10г (А\ц)</t>
  </si>
  <si>
    <t>Среднеранний, от всходов до цветения - 23-25 дней, до технической спелости бобов - 55-65 дней, до созревания семян около 100 дней. Растения со слабым ветвлением, высотой 60-100 см, завязывают по 8-10 бобов. Бобы прямые, длиной 8-11 см, содержат 4-5 семян.</t>
  </si>
  <si>
    <t>4601729104152</t>
  </si>
  <si>
    <t>Бобы Черная жемчужина (А\ц)</t>
  </si>
  <si>
    <t>Скороспелый сорт. Период от всходов до цветения около 25 дней, до технической спелости 60-65 дней, до созревания семян 80-85 дней. Растения кустовые, ветвистые, высотой 70-100 см, с прочными стеблями.</t>
  </si>
  <si>
    <t>4601729101755</t>
  </si>
  <si>
    <t>Брюква Красносельская 0,5г (А\ц)</t>
  </si>
  <si>
    <t>Брюква</t>
  </si>
  <si>
    <t>Среднеранний сорт, формирует корнеплоды за 90-120 дней от всходов. Корнеплоды плоскоокруглые, массой 350-650 г. Мякоть твердая, интенсивно желтая, сладкая. Вкусовые качества хорошие, лежкость высокая – 95%.</t>
  </si>
  <si>
    <t>4601729150142</t>
  </si>
  <si>
    <t>Горох Бусинка 10 гр. (А\ц)</t>
  </si>
  <si>
    <t>Раннеспелый лущильный сорт. Отлично подходит для консервирования и замораживания. Растения крепкие, высотой 55-65 см, требуют опоры. Первый урожай созревает через 45-55 дней после появления всходов. Бобы длиной 8-9 см, каждый содержит 7-9 крупных семян. Это отличный гарнир, полезный ингредиент супов, закусок и салатов. Урожайность зрелого горошка – 1-1,3 кг/м2.</t>
  </si>
  <si>
    <t>4601729133671</t>
  </si>
  <si>
    <t>Горох Дарунок 25 гр. (А\ц)</t>
  </si>
  <si>
    <t>Высокопродуктивный, дружносозревающий лущильный сорт из группы безлисточковых (усатых) горохов. Среднепоздний, от всходов до технической спелости бобов 70-75 дней. Стебель длиной 70-80 см. Бобы слабоизогнутые, длиной 8-10 см, средней ширины, с 8-10 зернами. Горошек в технической спелости зеленый, выравненный по размеру, с отличными вкусовыми качествами. Используется в свежем виде и для консервирования. Семена морщинистые, с повышенным содержанием белка</t>
  </si>
  <si>
    <t>4601729054945</t>
  </si>
  <si>
    <t>Горох Детский сахарный 25 гр. (А\ц)</t>
  </si>
  <si>
    <t>Среднеранний урожайный сорт сахарного гороха. От всходов до технической спелости 55-65 дней. Растения высотой 50-70 см. Бобы длинные, широкие. В пищу используются не только семена, но и весь боб целиком. Створки боба не имеют жесткого пергаментного слоя, на вкус нежные, сочные и сладкие. Подходят для консервирования и замораживания. Урожайность бобов в технической спелости – 1,8-2 кг/м2. Сорт устойчив к фузариозу.</t>
  </si>
  <si>
    <t>4601729058905</t>
  </si>
  <si>
    <t>Горох Иловецкий Сахарный 25 гр (А\ц)</t>
  </si>
  <si>
    <t>Среднеспелый сахарный сорт. Вегетационный период от всходов до технической спелости 75-80 дней. Стебель мощный, высотой 70-80 см. На одном растении образуется до 14 бобов темно-зеленого цвета, длиной 5-8 см, состоящих из 6-9 зерен.</t>
  </si>
  <si>
    <t>4601729077210</t>
  </si>
  <si>
    <t>Горох Каскад 25 гр. (А\ц)</t>
  </si>
  <si>
    <t>Среднеспелый сорт сахарного гороха, от всходов до потребительской спелости около 60 дней. Высота растений 80 см. Бобы прямые или слабоизогнутые, очень длинные, широкие.</t>
  </si>
  <si>
    <t>4601729058912</t>
  </si>
  <si>
    <t>Горох Круглые ребятки 25 гр. (А\ц)</t>
  </si>
  <si>
    <t>Раннеспелый лущильный сорт, период от всходов до начала сбора урожая примерно 50 дней. Растения высотой около 80 см, очень продуктивные – формируют по 2 боба в узле.</t>
  </si>
  <si>
    <t>4601729165306</t>
  </si>
  <si>
    <t>Горох Оконный малыш (А\ц) 217694567</t>
  </si>
  <si>
    <t>Современный компактный сорт сахарного гороха для горшечного выращивания. Низкорослый кустик не требует опор и позволяет получить щедрый урожай в условиях комнаты или балкона. Бобы длиной 7-10 см, каждый содержит 8-10 крупных, хорошо выполненных семян. Они созревают спустя 45-55 дней после появления всходов. В молочной спелости стручки великолепны на вкус целиком. Сорт можно выращивать в открытом грунте, в том числе для оформления цветочно-овощных композиций.</t>
  </si>
  <si>
    <t>4601729174353</t>
  </si>
  <si>
    <t>Горох Окошкин дом (А\ц) 225358115</t>
  </si>
  <si>
    <t>Компактный сорт сахарного гороха. Растения быстро развиваются, приобретая аккуратную шаровидную форму и не требуя специальных опор. Они образуют множество сочных бобов с нежным и сладким горошком внутри. Стручки в молочной спелости очень вкусные, их потребляют целиком, вместе с семенами.</t>
  </si>
  <si>
    <t>4601729076954</t>
  </si>
  <si>
    <t>Горох Сахарный 2 25 гр. (А/ц)</t>
  </si>
  <si>
    <t>Раннеспелый высокоурожайный сахарный сорт. Растение высотой около 95 см. Бобы светло-зеленые, слабоизогнутые, длиной 11 см, шириной 1,3 см. В пищу используются не только семена, но весь боб (в просторечии – стручок) целиком, вместе со створками – как в свежем виде, так и после легкой кулинарной обработки. Створки боба не имеют жесткого пергаментного слоя, они нежные на вкус, сочные, сладкие. Сорт пригоден для консервирования и замораживания. Вкусовые качества свежего и консервированного горошка отличные. Устойчив к фузариозу.</t>
  </si>
  <si>
    <t>4601729047114</t>
  </si>
  <si>
    <t>Горох Сахарный принц 25 гр (А/ц)</t>
  </si>
  <si>
    <t>Высокоурожайный сахарный сорт гороха, период от всходов до технической спелости 75-80 дней. Растение высотой около 150 см. Бобы зеленые, плоские, длиной 10-11 см, без пергаментного слоя и волокна. Горошины круглые, зеленые, очень сладкие и вкусные. Используется для потребления в свежем виде, использования в домашней кулинарии, для консервирования и замораживания. Сорт отличается высоким и дружным формированием урожая, отличными вкусовыми качествами горошка.</t>
  </si>
  <si>
    <t>4601729099236</t>
  </si>
  <si>
    <t>Горох Сахарный стручок 25 гр (А/ц)</t>
  </si>
  <si>
    <t>Сахарный сорт раннего срока созревания, от всходов до технической спелости бобов 45-55 дней. Формирует растения высотой 50-70 см. Бобы-лопатки широкие, без грубого пергаментного слоя.
Используются в пищу целиком – недозрелые семена вместе с мясистыми, сочными створками боба. Вкус нежный, сладкий, деликатесный. Рекомендуется для свежего потребления, использования в кулинарии и для консервирования. Урожайность бобов в технической спелости 0,5-0,6 кг/м2. Сорт холодостойкий, устойчив к комплексу болезней культуры. Горох – хороший фиксатор атмосферного азота, повышает плодородие почвы, улучшает ее структуру и является хорошим предшественником для других огородных культур.</t>
  </si>
  <si>
    <t>4601729117381</t>
  </si>
  <si>
    <t>Горох Сахарок-ползунок 25 г (А/ц)</t>
  </si>
  <si>
    <t>Раннеспелый сахарный сорт. От всходов до технической спелости 50-57 дней. Растения высотой 80-85 см. Бобы-лопатки длиной 8-10 см, шириной 1,5-1,6 см, без пергаментного слоя. Используются в кулинарии, для консервирования и замораживания. Урожайность – 0,5-0,7 кг/м 2 . Сорт устойчив к болезням и вредителям.</t>
  </si>
  <si>
    <t>4601729117084</t>
  </si>
  <si>
    <t>Горох Сладкий стручок 25 гр (А/ц)</t>
  </si>
  <si>
    <t>Скороспелый сорт сахарного гороха. От всходов до начала технической спелости 55-60 дней. Высота растений 50-70 см. Бобы-лопатки длинные – 7-9 см, широкие, отличаются высоким содержанием незаменимой аминокислоты – лизина. Створки без пергаментного слоя, толстые, мясистые, хрустящие, сочные, с легким ароматом. Вкус сладкий и нежный, деликатесный. Урожайность лопаток 0,6-0,7 кг/м2.</t>
  </si>
  <si>
    <t>4601729104343</t>
  </si>
  <si>
    <t>Горох Усатый нянь 25г (А/ц)</t>
  </si>
  <si>
    <t>Сахарный, дружносозревающий сорт. Среднеспелый, формирует
урожай за 60-65 дней от всходов. Относится к группе т.н. афильных
(безлисточковых) сортов, у которых часть листвы видоизменилась
в дополнительные «усы». Сорт может выращиваться без опор.
За счет мощного развития усов травостой сильно сцеплен, что значительно повышает устойчивость растений к полеганию. Стебли
высотой 75-80 см. Бобы длиной 9-10 см, число семян в бобе – 7-9 шт. Семена мозговые, в биологической спелости морщинистые. Створки молодых бобов не имеют жесткого пергаментного слоя.</t>
  </si>
  <si>
    <t>4601729095887</t>
  </si>
  <si>
    <t>Горчица Частушка салатная  (А\ц)</t>
  </si>
  <si>
    <t>Новый раннеспелый, высокоурожайный, холодостойкий сорт. Период от всходов до срезки на зелень 25-32 дня. Урожайность – 3,5-4 кг/м2. Розетки листьев высотой до  35 см, 035-40 см,  массой  130-160 г.  Листья  крупные,  гофрированные. Ткань листьев нежная, сочная, ароматная, с горчичным привкусом. Используется в свежем виде для приготовления бутербродов, салатов и гарниров. Горчица Частушка содержит богатый комплекс витаминов, микроэлементов и минеральных солей.</t>
  </si>
  <si>
    <t>4601729095894</t>
  </si>
  <si>
    <t>Горчица Чудеса в решете салатная  (А\ц)</t>
  </si>
  <si>
    <t>Новый раннеспелый высокоурожайный сорт. Период от всходов до уборки зелени 25-30 дней. Урожайность высокая,  3,5-3,8 кг/м2. Розетки листьев высотой до 17 см, O27-30 см, массой 50-60 г. Листья крупные, сильно рассеченные. Ткань листьев сочная, очень нежная, с приятной остротой, ароматная. Используется в свежем виде для приготовления салатов, бутербродов и гарниров. Сорт холодостойкий, содержит богатый витаминно-минеральный комплекс.</t>
  </si>
  <si>
    <t>4601729150173</t>
  </si>
  <si>
    <t>Дайкон Розовый фламинго F1 10 шт. (А\ц)</t>
  </si>
  <si>
    <t>Насыщенный цвет и отличный вкус! Этот гибрид дайкона не оставит вас равнодушными! Среднеспелый и очень продуктивный. Урожай корнеплодов созревает через 70 дней после посева семян. Средняя масса 150 г, длина – около 15 см, ? 4-5 см. Корнеплоды гладкие, ровные, среднего размера. Мякоть сочная, без волокон и пустот. Гибрид отличается устойчивостью к комплексу заболеваний культуры.</t>
  </si>
  <si>
    <t>4601729086229</t>
  </si>
  <si>
    <t>Двурядник Оливетта тонколистный (А\ц)</t>
  </si>
  <si>
    <t>Салат</t>
  </si>
  <si>
    <t>Двурядник тонколистный известен также под названиями рокет-салат, или руккола дикая. Это «родственник» рукколы-индау, неприхотливый холодостойкий многолетник высотой около 40 см, с ветвистым, одревесневающим в основании стеблем. Листья продолговатые, перисторассеченные, с горчично-ореховым вкусом, более ярко выраженным, чем у индау. Аромат также более интенсивный. Зелень богата каротином, витаминами группы В, йодом, аскорбиновой кислотой, употребление её в свежем виде повышает уровень гемоглобина в крови и способствует выведению «плохого» холестерина.</t>
  </si>
  <si>
    <t>4601729172588</t>
  </si>
  <si>
    <t>Девясил Девять сил (А\ц)</t>
  </si>
  <si>
    <t>Применяют при заболеваниях верхних дыхательных путей и легких (бронхит, туберкулез), желудочно-кишечного тракта (гастрит), желчного пузыря, печени, мочевого пузыря и почек. Растение содержит: эфирное масло, горечи, полисахариды, инулин, смолы, витамин Е. Обладает легким спазмолитическим эффектом, бактерицидным и смягчающим кашель действием. Корневища мощно развитых растений собирают осенью или весной, режут и сушат. Листья с молодых растений сушат на воздухе. Сухие измельченные части растения применяются в виде чая: 1 чайную ложку залить ? л кипящей воды и настоять 15 минут, принимать 2-4 раза в день по 1 чашке небольшими глотками.</t>
  </si>
  <si>
    <t>4601729143748</t>
  </si>
  <si>
    <t>Душица обыкновенная Лебедушка (А\ц)</t>
  </si>
  <si>
    <t>Многолетнее пряное растение, известное еще как “Орегано”. Пользуется особой популярностью у огородников. Эффектно цветет всё лето и способно отпугивать большинство вредителей от огорода. Отличный медонос. Кустики ветвистые, высотой 50-70 см, прекрасно зимуют без укрытия. Для чаев и настоев собирают цветущие побеги с листьями в июле, начиная со второго года вегетации. С растения срезают несколько стеблей на высоте 15-20 см от поверхности почвы</t>
  </si>
  <si>
    <t>4601729176722</t>
  </si>
  <si>
    <t>Дыня Оранжевый ананас (А\ц)</t>
  </si>
  <si>
    <t>Новый гибрид для открытого и защищенного грунта. Среднеспелый, от всходов до созревания первого урожая 80-90 дней. Плоды имеют овальную форму, массой 2-2,5 кг. Мякоть оранжевая, на вкус очень сладкая, по консистенции мягкая, буквально тающая во рту, имеет выраженный вкус и аромат ананаса. Кожура шероховатая, при созревании приобретает желтый цвет. Гибрид идеально подходит для фруктовых салатов, также из этой дыни можно приготовить цукаты, варенье, повидло и другие изысканные десерты.</t>
  </si>
  <si>
    <t>4601729163739</t>
  </si>
  <si>
    <t>Дыня Подмосковное угощение (А\ц)</t>
  </si>
  <si>
    <t>Новый интересный гибрид дыни с ярко-оранжевой мякотью. Вкус и аромат – вне конкуренции! Неприхотливый и урожайный. В средней полосе лучших результатов можно добиться при возделывании в защищенном грунте. От появления всходов до созревания первого урожая проходит 90-105 дней. Гладкие небольшие желтые плоды вырастают массой около 1,5-2 кг. Они хорошо подходят для приготовления необычных фруктовых десертов: дынный мусс, мармелад, десертный дынный суп, сорбет и т.д.</t>
  </si>
  <si>
    <t>4601729129698</t>
  </si>
  <si>
    <t>Зверобой Жизненная сила (А\ц)</t>
  </si>
  <si>
    <t>Неприхотливое и морозостойкое многолетнее травянистое растение. Ежегодно весной образует несколько ветвистых побегов, достигающих высоты 40-80 см. Цветет 20-30 дней, начиная с середины июня. Светолюбив; лучше развивается на умеренно влажной плодородной, хорошо дренированной почве. Цветы и трава зверобоя – превосходный антисептик с противовоспалительным, обезболивающим и противобактериальным эффектом. Настои и отвары травы действуют даже на золотистого стафилококка, устойчивого ко многим антибиотикам! И, конечно, это великолепное косметическое средство, улучшающее состояние кожи и волос.</t>
  </si>
  <si>
    <t>4601729027987</t>
  </si>
  <si>
    <t>Земляника Зита и Гита, смесь (А/ц)</t>
  </si>
  <si>
    <t>Смесь ремонтантной безусой земляники белого и красного цвета. Сбор ягод, с начала лета и до поздней осени. Землянику можно выращивать также и дома - на окне или на балконе. На взрослом кусте за сезон созревает до 1000 ягод. Ягоды конические (по длине больше ширины), средней плотности. Имеет необыкновенный вкус и аромат. Ягоды значительно крупнее лесной земляники, обладают неповторимым вкусом и запахом.</t>
  </si>
  <si>
    <t>4601729176562</t>
  </si>
  <si>
    <t>Земляника Настя (А\ц) 623324221</t>
  </si>
  <si>
    <t>Новый ремонтантный гибрид земляники с отличным вкусом. Созревание первых ягод начинается в начале лета и продолжается до осенних заморозков. Кустик высотой 20-25 см. Ягоды привлекательные, ярко-красного цвета, конусовидной формы, массой 10-15 г, безупречного сладкого вкуса с выраженным клубничным ароматом. Хорошо переносят долгую транспортировку. Высокоурожайный гибрид со стабильным плодоношением. Прекрасная зимостойкость и устойчивость к большинству грибных заболеваний.</t>
  </si>
  <si>
    <t>4601729092961</t>
  </si>
  <si>
    <t>Иссоп лекарственный розовый 0,1г (А\ц)</t>
  </si>
  <si>
    <t>Многолетний  полукустарник  пряно-ароматической  группы. Ценится за приятный интенсивный аромат, высокую декоративность, лекарственные, медоносные и пищевые качества. Сорт раннеспелый, с момента весеннего отрастания до начала цветения 80-85 дней. Формирует плотный куст высотой 50 см. Урожайность зелени 3-3,5 кг/м2. Вредителями и болезнями практически не поражается,  зимует без укрытия. Листья и молодые побеги используют в свежем и сушеном виде в качестве приправы к разнообразным блюдам.  Эфирное масло иссопа обладает антимикробным и противовирусным действием.</t>
  </si>
  <si>
    <t>4601729190537</t>
  </si>
  <si>
    <t>Кабачок Айвенго цуккини (А\ц)</t>
  </si>
  <si>
    <t>Раннеспелый гибрид кабачка цуккини с частичной партенокарпией. Стабильно завязывает плоды даже при отсутствии насекомых-опылителей. Отличается высокой продуктивностью и длительным периодом отдачи урожая (не менее 2 месяцев). Сбор плодов можно начинать через 45-50 дней после всходов. Растения мощные, полуплетистые, главная плеть вырастает до 1 м. Кабачки цилиндрические, гладкие, бело-зеленые, самые вкусные и нежные массой 250-350 г. Гибрид среднеустойчив к фузариозному увяданию, мучнистой росе и вирусной инфекции.</t>
  </si>
  <si>
    <t>4603418025601</t>
  </si>
  <si>
    <t>Кабачок Деликатес, цукини (А/ц)</t>
  </si>
  <si>
    <t>Высокоурожайный раннеспелый сорт. Растение имеет кустовую форму, образует цилиндрические плоды, массой до 2,0 кг, темно-зеленый с белой пятнистостью, глянцевый. Мякоть - светлая, хрустящая, очень сладкая и сочная. Плоды отлично перевозятся и хранятся, используются для кулинарии и консервирования, являются прекрасным диетическим продуктом.</t>
  </si>
  <si>
    <t>4601729191558</t>
  </si>
  <si>
    <t>Кабачок Кеша цуккини (А\ц)</t>
  </si>
  <si>
    <t>Высокопродуктивный гибрид цуккини. Плодоносит до осенних заморозков. Среднеспелый, от всходов до начала сбора урожая 55-60 дней. Часть плодов завязывается без опыления. Растения полуплетистые. Во второй половине лета главный побег начинает активно нарастать, что  стимулирует вторую волну плодоношения. Кабачки длиной 20-25 см, массой 200-350 г. Мякоть плотная, нежная и сочная. Рекомендуется собирать молодые плоды возрастом не более 10-12 дней. Такие кабачки можно использовать в сыром виде в салатах и для быстрого маринования. Гибрид устойчив к перепаду температур, засухе и болезням культуры.</t>
  </si>
  <si>
    <t>4601729104992</t>
  </si>
  <si>
    <t>Кабачок Медвежонок F1, белоплодный (А\ц)</t>
  </si>
  <si>
    <t>Скороспелый гибрид. Вступает в плодоношение через 38-40 дней от всходов. Растения одностебельные, компактные, кустового габитуса. Плоды узкоцилиндрические, гладкие или слаборебристые у плодоножки, массой 500-700 г. Отличительная черта гибрида – белесая окраска зеленцов и белый цвет зрелых плодов. Мякоть также белая, плотная, очень вкусная.</t>
  </si>
  <si>
    <t>4601729078309</t>
  </si>
  <si>
    <t>Кабачок Отличник (А\ц)</t>
  </si>
  <si>
    <t>Очень ранний гибрид немецкой селекции.  Плоды светло-зеленые, цилиндрически - булавовидной формы. Нежная сочная мякоть обладает ценными пищевыми достоинствами особенно в ранней фазе роста молодых завязей. Масса вызревшего плода 1-2 кг. Гибрид обладает хорошей лежкостью,  прекрасно хранится несколько  месяцев.</t>
  </si>
  <si>
    <t>4601729191565</t>
  </si>
  <si>
    <t>Кабачок Ранний сибиряк цуккини (А\ц)</t>
  </si>
  <si>
    <t>Неприхотливый раннеспелый гибрид с высокой продуктивностью, отличным товарным качеством плодов и длительным периодом плодоношения. Для О/Г и пленочных укрытий. Начинает отдавать урожай на 40-45 день после всходов. Растения полуплетистые, в стрессовых условиях завязывают плоды без опыления. Со второй половины лета главный побег начинает активно отрастать, что способствует новой волне плодоношения. Кабачки пригодны к сбору при достижении длины 15-20 см и массе 200-350 г. В это время они наиболее нежные и вкусные. Гибрид устойчив к болезням культуры, засухе и перепадам температур. Урожайность 6-8 кг/м2.</t>
  </si>
  <si>
    <t>4601729105005</t>
  </si>
  <si>
    <t>Кабачок Снежный дракон F1, белоплодный (А\ц)</t>
  </si>
  <si>
    <t>Ранний гибрид с белоснежными плодами. И зеленцы, и зрелые плоды имеют наиболее светлую окраску среди всех кабачков. Вступает в плодоношение на 38-42 день от всходов. Формирует компактные кустовые растения с одним стеблем. Плоды цилиндрические, узкие, длинные, гладкие, массой 500-600 г. Мякоть белая, плотная, содержит 5-6% сухих веществ, 2,5-3% сахаров, 20-25 мг% витамина С. Рекомендуется для столовых целей и консервирования. Вкус продукции отличный. Гибрид устойчив к воздушной засухе, мучнистой росе и бактериозу плодов. Урожайность 5-6 кг/м2.</t>
  </si>
  <si>
    <t>4601729158070</t>
  </si>
  <si>
    <t>Кабачок Спагетти, смесь (А\ц)</t>
  </si>
  <si>
    <t>Необычная смесь кабачков с разноцветными мини-плодами. На одном растении могут встречаться кабачки с разным рисунком коры зеленого и оранжевого цвета. Созревание наступает через 40-45 дней после появления всходов. Растения кустовые, отличаются мягким опушением стеблей, что облегчает уход и сбор урожая. Плоды овальные, в потребительской спелости массой 600- 800 г.</t>
  </si>
  <si>
    <t>4610358530119</t>
  </si>
  <si>
    <t>Кабачок Спрут F1, цуккини 5 шт. (А/ц)</t>
  </si>
  <si>
    <t>Скороспелый гибрид кабачка цуккини. Период от полных всходов до первого сбора плодов около 40-45 дней. Растения компактные, с короткими междоузлиями. Плодоношение обильное и продолжительное, урожай можно собирать хоть каждый день! Плоды глянцевые, длиной 15-18 см, массой 250-300 г, с тонкой кожицей. Мякоть кремово-белая, плотная, с нежным вкусом. Гибрид отлично подойдет для витаминных салатов, приготовления на гриле и консервирования. Ценится за хорошую адаптацию к условиям разных климатических зон и устойчивостью к болезням: ZYMV, WMV, Gc. Урожайность 11-13 кг/м2.</t>
  </si>
  <si>
    <t>4601729023323</t>
  </si>
  <si>
    <t>Кабачок Тигренок цуккини 1г (А\ц)</t>
  </si>
  <si>
    <t>Скороспелый сорт, преимущественно женского типа цветения (от всходов до плодоношения 60-65 дней). Отличается компактным кустом, оригинальной окраской плодов, очень нежным вкусом и способностью к длительному хранению после сбора. Плоды цилиндрические, массой 0,8-1,1 кг, мякоть светло-кремовая, плотная, нежная, с повышенным содержанием витаминов. Обладает великолепными кулинарными качествами.</t>
  </si>
  <si>
    <t>4601729056017</t>
  </si>
  <si>
    <t>Кабачок Умка (А\ц)</t>
  </si>
  <si>
    <t>Раннеспелый высокоурожайный сорт, период от полных всходов до первого съема плодов – 44 дня. Растение плетистое. Плод цилиндрический, длиной до 20 см, белый. Масса плода 0,5-1,5 кг. Мякоть светлая, плотная, нежная.</t>
  </si>
  <si>
    <t>4601729189418</t>
  </si>
  <si>
    <t>Кабачок Фаворит цуккини (А\ц)</t>
  </si>
  <si>
    <t>Один из самых высокоурожайных сортов цуккини. При хорошей агротехнике можно получить 20-25 кг/м2 товарной продукции. Раннеспелый, начинает плодоносить на 45-50 день после всходов. Растения кустовые или полукустовые, к концу сезона образуют короткую плеть. Плоды длиной 15-20 см используют в свежих салатах и для повседневной кулинарии. Крупные плоды, массой 1-1,5 кг, хорошо хранятся до весны, и используются по мере необходимости. Сорт относительно устойчив к серой гнили и мучнистой росе.</t>
  </si>
  <si>
    <t>4601729055096</t>
  </si>
  <si>
    <t>Кабачок Цукеша цуккини  2гр.(А\ц)</t>
  </si>
  <si>
    <t>Сорт скороспелый, вступает в плодоношение на 41-50 день. Растения кустовые, компактные. Плоды цилиндрические, массой 07-0,9 кг. Кора тонкая. Мякоть белая, хрустящая, отличных вкусовых качеств. Великолепно подходит для приготовления кабачковой икры, различной кулинарной переработки, консервирования и замораживания. Один из самых высокоурожайных сортов, дает 11-12 кг/м2 товарной продукции за сезон.</t>
  </si>
  <si>
    <t>4601729166716</t>
  </si>
  <si>
    <t>Кабачок Шкипер цуккини (А\ц)</t>
  </si>
  <si>
    <t>Неприхотливый раннеспелый гибрид цуккини. Период от всходов до начала сбора плодов 40-45 дней. Растение кустовое, малооблиственное, что облегчает сбор урожая. Молодые плоды цилиндрические, темно-зеленого цвета, глянцевые, средний размер для уборки 20-25 см. Гибрид универсального назначения.</t>
  </si>
  <si>
    <t>4601729104190</t>
  </si>
  <si>
    <t>Кабачок Щедрый богатырь цуккини 1г (А/ц)</t>
  </si>
  <si>
    <t>Новый сорт с красивыми плодами интенсивно-оранжевого цвета. Раннеспелый, от всходов до сбора первых плодов – 38-45 дней. Растения компактные, кустовые; к концу вегетации главный стебель приобретает вид короткой плети. Сорт формирует цилиндрические плоды средней длины и диаметра, гладкие, глянцевые, массой 0,6-0,7 кг. Мякоть кремово-желтая, нежная, с высоким содержанием каротина и других биологически активных веществ. Рекомендуется для столовых целей и консервирования. Вкусовые качества продукции превосходные. Урожайность – 5-7 кг/м2.</t>
  </si>
  <si>
    <t>4601729183225</t>
  </si>
  <si>
    <t>Капуста б/к Бычье сердце 0,2 г (А/ц)</t>
  </si>
  <si>
    <t>Скороспелый сорт капусты с ко ни чес кой формой кочана. От всходов до начала уборки первого урожая проходит 70-75 дней. Кочан средней плотности, массой 1,3-1,7 кг, не растрескивается при созревании. Листья нежные, сочные и хрустящие, с более сладким вкусом, чем у обычной белокочанной капусты. Сорт рекомендуется для использования в свежих салатах, закусках, для приготовления первых и вторых блюд. Устойчив к комплексу заболеваний. Непригоден для хранения.</t>
  </si>
  <si>
    <t>4601729078026</t>
  </si>
  <si>
    <t>Капуста б/к Золотой гектар 1432, сред. 0,5г  (А\ц)</t>
  </si>
  <si>
    <t>Среднеранний (от полных всходов до уборки 102-110 дней), с компактной розеткой, засухоустойчивый. Кочан округлый, небольшой, но плотный (что отличает этот сорт от других ранних капуст), светло-зеленый, массой 1,6-3,3 кг, с короткой внутренней кочерыгой. Кочаны устойчивы к растрескиванию, относительно долго сохраняют товарные качества.</t>
  </si>
  <si>
    <t>4603418010157</t>
  </si>
  <si>
    <t>Капуста б/к Надежда, ср 0,3 г  (А\ц)</t>
  </si>
  <si>
    <t>Среднеспелый, холодостойкий сорт. Период от всходов до уборки урожая 130- 140 дней. Кочан округло-плоский, плотный, массой до 4 кг. Наружная окраска бледно-зеленая, на разрезе белая. Вкусовые качества отличные. Рекомендуется для потребления в свежем виде, квашения и хранения (до 3 месяцев).</t>
  </si>
  <si>
    <t>4601729152719</t>
  </si>
  <si>
    <t>Капуста б/к Парел (А\ц)</t>
  </si>
  <si>
    <t>Скороспелый гибрид. Кочан округлый, весом до 2 кг, не растрескивается. Гибрид отличается выравненностью кочанов, дружной отдачей раннего урожая, высокой устойчивостью к растрескиванию, хорошими вкусовыми качествами. Ценность гибрида - хорошая транспортабельность, а также замечательный вкус свежей продукции.</t>
  </si>
  <si>
    <t>4601729173639</t>
  </si>
  <si>
    <t>Капуста б/к Сто одежек (А\ц)</t>
  </si>
  <si>
    <t>Среднеспелый сорт. Период от массовых всходов до начала технической спелости 101-132 дня. Кочан среднего размера до крупного, округлый до округло-плоского, плотный. Вкусовые качества высокие. Масса кочана 2,4-4,5 кг. Созревание кочанов довольно дружное. Рекомендуется для использования в свежем виде и для квашения.</t>
  </si>
  <si>
    <t>4601729122200</t>
  </si>
  <si>
    <t>Капуста б/к Урожайная 0,3г (А/ц)</t>
  </si>
  <si>
    <t>Один из самых популярных сортов в своей группе спелости. Среднепоздний, готов к уборке через 130-140 дней от всходов. Кочаны округлой и округло-плоской формы, очень плотные. Устойчивы к растрескиванию. Наружная окраска голубовато-зеленая, с восковым налетом средней интенсивности, на разрезе — белая. Средняя масса вилка 3-4,5 кг. Рекомендуется для потребления в свежем виде в осенне-зимний период и для квашения. Вкусовые качества свежей и квашеной продукции отличные. Кочан хорошо хранится в течение полугода. Товарность сор та достигает 99%. Урожайность 8-9 кг/м 2 .</t>
  </si>
  <si>
    <t>4601729150180</t>
  </si>
  <si>
    <t>Капуста б/к Хрустящая закуска (А/ц)</t>
  </si>
  <si>
    <t>Отличный среднеранний сорт для квашения. Подходит для использования в свежем виде и краткосрочного хранения. Урожай созревает через 110-125 дней после появления всходов. Розетка листьев компактная, приподнятая. Кочан округлый, плотный, массой 3-4,5 кг, на разрезе – белый, не растрескивается. Наружная кочерыга средней длины, внутренняя – короткая. Сорт превосходит большинство конкурентов по вкусовым качествам.</t>
  </si>
  <si>
    <t>4601729181986</t>
  </si>
  <si>
    <t>Капуста Брюс. Лонг-Айленд (А\ц)</t>
  </si>
  <si>
    <t>Среднеранний сорт, вегетационный период – 95-100 дней от появления всходов до наступления технической спелости. Высота растений – 80 см, масса одного кочанчика- 10-15 г, количество кочанчиков на одном растении – 50-70 штук. Используется в свежем виде, а также для консервирования и замораживания.</t>
  </si>
  <si>
    <t>4601729030833</t>
  </si>
  <si>
    <t>Капуста брюссельская Розелла, ср. 0,3г  (А/ц)</t>
  </si>
  <si>
    <t>Среднеранний сорт (техническая спелость кочанчиков наступает на 160 день от посева семян) с дружным формированием урожая. Кочанчик яйцевидной формы, зеленый, массой до 15 г, на одном растении образуется до 45 шт. Кочанчики обладают отличными вкусовыми и диетическими качествами.</t>
  </si>
  <si>
    <t>4601729020766</t>
  </si>
  <si>
    <t>Капуста декоративная Павлин коч. 7 шт. (А/ц)</t>
  </si>
  <si>
    <t>Высота растения 30 см. Изящная смесь с ажурными, сильнорассеченными листьями. Розетки раскидистые, до 30 см в высоту. Растения холодостойкие, легко переносят осенние и весенние заморозки, предпочитают солнечное местоположение но могут расти и в полутени. Максимального декоративного эффекта, яркого окрашивания розеток, растения достигают с наступлением осенних заморозков. Используются для посадки в цветниках, на клумбах, в рабатках, подходят для выращивания в больших горшках.</t>
  </si>
  <si>
    <t>4601729122194</t>
  </si>
  <si>
    <t>Капуста к/к Калибос (А\ц)</t>
  </si>
  <si>
    <t>Среднеспелый (140-150 дней от всходов до технической спелости) сорт.  Растение высокорослое,  Кочан конусовидный, высотой 25-35 см, массой 1,5-2,0 кг, среднеплотный. Наружная окраска красная, на разрезе красно-фиолетовая. Вкус сладкий, консистенция нежная, сочная. Сорт характеризуется высокой урожайностью.</t>
  </si>
  <si>
    <t>4601729096129</t>
  </si>
  <si>
    <t>Капуста китайская Аленушка, ран. 0,3г  (А\ц)</t>
  </si>
  <si>
    <t>Популярный отечественный сорт китайской капусты, которая известна также как горчичная, или пак чой. Ценится за скороспелость (45 дней от всходов) и высокое содержание лизина – незаменимой аминокислоты, редкой в овощах. Формирует прямостоячую розетку листьев диаметром 20-30 см.</t>
  </si>
  <si>
    <t>4601729122187</t>
  </si>
  <si>
    <t>Капуста китайская Четыре Сезона (А\ц)</t>
  </si>
  <si>
    <t>Листовая капуста пак-чой с интенсивным ростом. Ценится за скороспелость (45 дней), холодостойкость, неприхотливость выращивания,  возможность  круглогодичного культивирования в теплицах. Розетка высотой 45 см. Масса одного растения достигает 1350 г. Листья с широкими, толстыми, сочными черешками. Вкус пикантный, слабо-острый, горчичный. Идеальный продукт для сторонников здорового питания. Востребован в диетах для похудения. Черешки отваривают и тушат; листья вкусны в свежем виде в салатах. Урожайность 7-8 кг/м 2 . Декоративные розетки используют также для оформления цветников.</t>
  </si>
  <si>
    <t>4601729177927</t>
  </si>
  <si>
    <t>Капуста китайская Шанхайская роза (А\ц)</t>
  </si>
  <si>
    <t>Среднеспелый сорт китайской капусты с красивой формой листовой розетки. Урожай собирают через 65-70 дней от всходов. Сердцевидные внутренние листья плотно прижаты друг к другу, при низкой температуре они приобретают золотисто-желтый цвет. Листовой черешок широкий, короткий, белоснежный. Обладает хрустящей текстурой и слегка сладким вкусом, после легкого замораживания вкус становится еще лучше. Сорт отлично подходит для диетического питания, оздоровления и насыщения организма комплексом витаминов, минералов и антиоксидантов. Выдерживает низкую температуру до -5° С.</t>
  </si>
  <si>
    <t>4601729077579</t>
  </si>
  <si>
    <t>Капуста пекинская Бокал (А\ц)</t>
  </si>
  <si>
    <t>Среднеспелый высокоурожайный сорт, от полных всходов до технической спелости 70 дней. Кочаны среднего размера, плотные, массой 1,5-2 кг. Товарная урожайность 9-12 кг/м2. Внешние листья светло-зеленые,
внутренние – светло желтые, пузырчатые, нежной консистенции, с отличными вкусовыми качествами. Сорт устойчив к стеблеванию. По вкусовым качествам и диетическим свойствам пекинская превосходит другие кочанные виды капуст.</t>
  </si>
  <si>
    <t>4601729133350</t>
  </si>
  <si>
    <t>Капуста Пекинская Виктория F1 (А/ц)</t>
  </si>
  <si>
    <t>Высокоурожайный, неприхотливый, среднеспелый гибрид. Один из лучших для зимнего хранения. Собирают урожай через 65-70 дней после всходов. Кочаны крупные, средней плотности, массой 1,2-2,0 кг. Листья нежные, сочные и хрустящие. В свежем виде их используют для салатов. Также они отлично подходят для квашения, засолки и различной кулинарной переработки (тушения, запекания, жарки).</t>
  </si>
  <si>
    <t>4601729122231</t>
  </si>
  <si>
    <t>Капуста пекинская Ворожея (А\ц)</t>
  </si>
  <si>
    <t>Вкусный сорт самой нежной из всех капуст. Хрустящий, но достаточно мягкий, один из самых сочных. Успешно объединяет характеристики салата и капусты. Среднеспелый, формирует урожай за 60-70 дней от всходов. Устойчив к стрелкованию. Кочан широко овальный, открытый, средней плотности, массой 2,0-2,5 кг. Лист сильнопузырчатый, содержит всего 16 ккал на 100 г. При тепловой обработке не имеет специфического капустного запаха. Зеленую часть используют для приготовления бутербродов и свежих салатов. Более плотную середину готовят так же, как белокочанную капусту. Урожайность 10 - 12,5 кг/м 2.</t>
  </si>
  <si>
    <t>4601729117398</t>
  </si>
  <si>
    <t>Капуста пекинская Сто пеленок (А\ц)</t>
  </si>
  <si>
    <t>Раннеспелый, высокоурожайный сорт. От всходов до уборки 55-60 дней. Розетки крупные, Ø 50-60 см, высотой 30-40 см. Кочаны массой 2,5-2,7 кг, средней плотности, желтые на разрезе. Вкусовые качества отличные. Используется в свежем виде, подходит для краткосрочного хранения. Сорт устойчив к стеблеванию и киле крестоцветных. Урожайность – 4,5-5 кг/м 2 .</t>
  </si>
  <si>
    <t>4601729181764</t>
  </si>
  <si>
    <t>Капуста савойская Деревенская сказка (А\ц)</t>
  </si>
  <si>
    <t>Необыкновенно вкусный раннеспелый сорт савойской капусты. Своим необычным видом и потрясающими вкусовыми качествами она полюбилась многим дачникам. Период от появления всходов до наступления потребительской спелости составляет 105-115 дней. Кочаны плоскоокруглые, на разрезе желтоватые, средней плотности, массой 1,2-1,5 кг. Листья пузырчатые, нежные, хрустящие. Рекомендуются для приготовления голубцов и свежих салатов. Сорт прекрасно подходит для диетического питания. Урожайность: 3,5-4,5 кг/м2.</t>
  </si>
  <si>
    <t>4601729105722</t>
  </si>
  <si>
    <t>Капуста савойская Московская Кружевница (А\ц)</t>
  </si>
  <si>
    <t>Высокоурожайный раннеспелый сорт отечественной селекции. Период от всходов до технической спелости 105-110 дней. Кочаны округло-плоские, средней плотности, на разрезе желтоватые, массой 1,0-1,5 кг. Листья пузырчатые, очень нежной структуры, с прекрасными вкусовыми качествами. Намного нежнее и вкуснее чем у белокочанной капусты. Великолепно подходят для приготовления свежих салатов и различной домашней кулинарии: голубцов, солянок, борщей, гарниров.</t>
  </si>
  <si>
    <t>4601729063848</t>
  </si>
  <si>
    <t>Капуста савойская Петровна (А\ц)</t>
  </si>
  <si>
    <t>Раннеспелый сорт, от посева до созревания кочанов примерно 110 дней. Кочан округлый, на разрезе желтоватый, средней плотности, массой 1,2-1,4 кг. Наружная кочерыга короткая. Лист пузырчатый, более тонкий и нежный, чем у белокочанной капусты. Используется в свежем виде в салатах и для приготовления солянок, щей, начинок для пирогов. Самые аппетитные голубцы получаются именно при использовании листьев савойской капусты. Она богата витаминами С, В1, РР, каротином, солями калия, магния, кальция, железа, фосфора. Вкус отличный. Урожайность высокая – 4,5-5,2 кг/м2.</t>
  </si>
  <si>
    <t>4601729166839</t>
  </si>
  <si>
    <t>Капуста цв. Белая фея (А\ц)</t>
  </si>
  <si>
    <t>Раннеспелый гибрид. Подходит для интенсивного выращивания. Собирать урожай начинают на 100-110 день после всходов. Растения компактные, крепкие, выровненные по форме и размеру. Головки самопокрывающиеся, плотные, нежные, массой около 1 кг. Прекрасно подходят для всех видов кулинарии, консервирования и замораживания. Это низкокалорийный продукт идеален для тех, кто следит за своим весом и хочет похудеть. Благодаря небольшому размеру растений, сажать их можно чаще, чем обычные сорта цветной капусты.</t>
  </si>
  <si>
    <t>4601729189425</t>
  </si>
  <si>
    <t>Капуста цв. Снеговичок F1 (А/ц)</t>
  </si>
  <si>
    <t>Раннеспелый гибрид цветной капусты – образец качества и урожайности. От высадки рассады до первого сбора 65-70 дней. Растения мощные, формируют плотные открытые головки массой 1-1,5 кг. При своевременной уборке соцветия очень нежные, сочные и хрустящие, приятного сливочного оттенка. Рекомендуется не передерживать их на растении и не допускать перерастания. Используются для приготовления первых, вторых блюд, консервирования и замораживания. Гибрид устойчив к комплексу неблагоприятных по годных явлений, стабильно даёт высокие урожаи в различных зонах земледелия.</t>
  </si>
  <si>
    <t>4601729128905</t>
  </si>
  <si>
    <t>Капуста японская Мизуна (А/ц)</t>
  </si>
  <si>
    <t>Ультраскороспелая, высокопродуктивная, салатная овощная культура, для выращивания в открытом и защищенном грунте. Сильнорассеченные темно-зеленые листья формирует крупную розетку листьев (30-40 шт.). Вкусовые качества отличные. Великолепно отрастает после срезки, что дает возможность получать урожай в течение всего летне-осеннего периода. Предназначен для потребления в свежем виде в салатах и заморозки.</t>
  </si>
  <si>
    <t>4601729068942</t>
  </si>
  <si>
    <t>Катран Аккорд (хрен) (А\ц)</t>
  </si>
  <si>
    <t>Многолетнее растение. Розетка листьев полуприподнятая, в розетке 6-12 листьев. Листья крупного размера, рассеченные, нежные, сочные, зеленые со слабым восковым налетом. Корнеплод цилиндрический, прямой, гладкий. Мякоть плотная, белая, со вкусом и ароматом как у хрена. Масса корнеплода 150-500 г. Сорт рекомендован для использования в свежем и переработанном виде, как корней так и листьев.</t>
  </si>
  <si>
    <t>4601729104206</t>
  </si>
  <si>
    <t>Кориандр Петруша огородник 3г (А\ц)</t>
  </si>
  <si>
    <t>Овощной кориандр, который выращивают специально на зелень, дольше остается молодым, не стрелкуется и чрезвычайно полезен: содержит аскорбиновую кислоту, каротин, до 140 мг%, и почти столько же рутина. Известно, что эти витамины укрепляют стенки капилляров, обладают антиоксидантной активностью, повышают иммунитет.</t>
  </si>
  <si>
    <t>4601729092756</t>
  </si>
  <si>
    <t>Кукуруза Белое облако сахарная 7г (А\ц)</t>
  </si>
  <si>
    <t>Кукуруза</t>
  </si>
  <si>
    <t>Высокоурожайный, среднеспелый сорт, от всходов до технической спелости 92-95 дней. Растения среднерослые, высотой 180-200 см. Початок длинной 20-23 см, слабоконической формы, массой 150-170 гр. Зерна сладкие, нежные, тонкокожие. Вкусовые качества варёной продукции отличные. Подходит для консервирования и приготовления попкорна.</t>
  </si>
  <si>
    <t>4601729150777</t>
  </si>
  <si>
    <t>Кукуруза Горячие ребята сахарная (А\ц)</t>
  </si>
  <si>
    <t>Скороспелый сорт с дружным созреванием урожая. Продукция великолепных вкусовых качеств, находка для приготовления на гриле! Потребительская спелость наступает через 70-80 дней после появления всходов. Растение мощное, высотой 1,4-1,5 м. Початок массой 190- 240 г, длиной 15-17 см, плотно заполнен крупным, нежным, сладким зерном.</t>
  </si>
  <si>
    <t>4601729104237</t>
  </si>
  <si>
    <t>Кукуруза Детское лакомство (А\ц)</t>
  </si>
  <si>
    <t>Новый, раннеспелый сорт. Период от всходов до технической спелости 80-90 дней. Растения высотой 160-200 см, формируют в среднем по 4 початка. Початки цилиндрические, длиной 20-22 см, массой 240-270 г. Зерна крупные, сладкие, с тонкой оболочкой и нежной консистенцией. Очень вкусны в вареном виде, подходят для консервирования и замораживания. Урожайность – 4,5-5,0 кг/м2. Перед посевом семена замачивают до набухания.</t>
  </si>
  <si>
    <t>4601729107856</t>
  </si>
  <si>
    <t>Кукуруза Золотой початок (А\ц)</t>
  </si>
  <si>
    <t>Новый, среднеспелый сорт. От всходов до уборки урожая 80-95 дней. Растения высотой 160-180 см, устойчивые к полеганию. Початки массой 300-330 г. Зерна крупные, хорошо выполненные, с высоким содержанием сахаров. Вкус вареной и консервированной продукции отличный. Урожайность 1,0-1,2 кг/м2.</t>
  </si>
  <si>
    <t>4601729142086</t>
  </si>
  <si>
    <t>Кукуруза Конфетти сахарная 5 гр.(А\ц)</t>
  </si>
  <si>
    <t xml:space="preserve"> Новый необычный сорт кукурузы с успехом формирует дружный урожай в средней полосе. Раннеспелый: насладиться вкусом первых молочных зернышек можно через 75-85 дней после появления всходов. Высота растений 1,5-1,7 м. На каждом образуется несколько початков массой около 140-170 г. Разноцветное, сладкое, кукурузное зерно – отличное лакомство для малышей и их родителей. Урожайность сорта достигает 1,5-2 кг/м2.</t>
  </si>
  <si>
    <t>4601729182235</t>
  </si>
  <si>
    <t>Кукуруза Сахарная Фея (А/ц)</t>
  </si>
  <si>
    <t>Ранний низкорослый сорт сахарной кукурузы. Полакомиться сладкими и очень вкусными початками можно через 80-85 дней после всходов. Растения формируют прямостоячий стебель высотой 1,1-1,2 м, с 2-3 початками массой 155-165 г. Крупные сладкие зерна с отличным вкусом, при полном созревании окрашиваются в желтый цвет. Сорт предназначен для использования в свежем и вареном виде. Рекомендован для выращивания на приусадебных участках и в мелких фермерских хозяйствах.</t>
  </si>
  <si>
    <t>4601729108518</t>
  </si>
  <si>
    <t>Лаванда Синеглазка (А\ц)</t>
  </si>
  <si>
    <t>Относительно зимостойкий сорт. Формирует компактные, хорошо облиственные кусты полушаровидной формы. Высота во время цветения 50-60 см. Всё растение источает сильный, приятный аромат. Отличный медонос с продолжительным периодом цветения. Используется для оформления цветников, как кулинарная пряность и в народной медицине. Аромат хорошо сохраняется при сушке и помогает при бессоннице, успокаивает при нервном возбуждении. Лаванда может размножаться самосевом.</t>
  </si>
  <si>
    <t>4601729145131</t>
  </si>
  <si>
    <t>Лаванда Французский букет (А/ц)</t>
  </si>
  <si>
    <t>Лаванда узколистная – замечательное, очень декоративное и полезное растение. Многолетний полукустарник высотой 50-60 см с серебристо-зелеными листьями и изящными соцветиями. Обладает уникальным приятным ароматом, так как все части растения содержат эфирное (лавандовое) масло. Хорошо растет в средней полосе на сухих солнечных местах. Болезнями и вредителями не поражается. Зацветает на второй год после посева.</t>
  </si>
  <si>
    <t>4601729160868</t>
  </si>
  <si>
    <t>Лемонграсс Цитрусовый аромат  (А\ц)</t>
  </si>
  <si>
    <t>Известная многолетняя культура из семейства Злаковые с необычайно широким спектром применения. Он обладает целебными, косметическими, декоративными свойствами. Используется в качестве ингредиента в блюдах азиатской кухни. Из его измельченных стеблей и листьев заваривают ароматный полезный чай. Неповторимый вкус сочетает в себе насыщенные цитрусовые и легкие имбирно-миндальные нотки, благодаря содержанию эфирного масла.</t>
  </si>
  <si>
    <t>4601729184697</t>
  </si>
  <si>
    <t>Лен масличный Бирюза (А\ц)</t>
  </si>
  <si>
    <t>Однолетний сидерат с уникальными свойствами. Эффективно защищает посадки картофеля от колорадского жука. Обогащает пахотный слой микроэлементами, обеззараживает и оздоравливает почву, улучшает её структуру. Культура холодостойкая, выдерживает небольшие заморозки. В средней полосе высевают в начале осени. Через 35-40 дней после всходов (до начала цветения) растения скашивают и заделывают в почву. На следующий год на этом участке высаживают картофель. Так же рекомендуется посеять весной по периметру участка с картофелем и оставить до конца сезона. В южных регионах высевают весной в самые ранние сроки. Является хорошим предшественником для моркови, свёклы, гороха, томатов, баклажанов, перцев и др. (кроме крестоцветных культур).</t>
  </si>
  <si>
    <t>4601729132599</t>
  </si>
  <si>
    <t>Лимонная трава Цитрон (А/ц)</t>
  </si>
  <si>
    <t>Растение из семейства Злаковые, которое широко используется в странах Юго-Восточной Азии в качестве пищевого и лекарственного. Известно также под названиями лемонграсс и лимонное сорго. В кулинарии используют свежие стебли и сушеные листья. Они содержат душистое эфирное масло, имеют свежий лимонный аромат с легкими нотками миндаля и яркий цитрусовый вкус.</t>
  </si>
  <si>
    <t>4601729096556</t>
  </si>
  <si>
    <t>Лук батун Пьеро, мн. 1г  (А\ц)</t>
  </si>
  <si>
    <t>Зимостойкий многолетник. Сорт среднеспелый, от весеннего отрастания до первой массовой срезки – 35-40 дней. Растение высокое – 100-110 см, с ложным стеблем длиной 15 см. Урожайность продуктивной части – 5,0–5,3 кг/м2. Сорт хорошо подходит для возделывания в однолетней культуре.</t>
  </si>
  <si>
    <t>4601729108631</t>
  </si>
  <si>
    <t>Лук Голд стар репч. (А\ц)</t>
  </si>
  <si>
    <t>Ценный сорт для получения товарных луковиц из семян за один год. Среднеспелый, от всходов до массовой уборки 110-120 дней. Формирует идеально округлые, двухзачатковые луковицы массой 90-130 г, с тонкой шейкой. Сочные чешуи белого цвета, полуострого вкуса. Сухих чешуй 5-6 шт. Вызреваемость репки перед уборкой 87%, после дозаривания – 98%. Средняя товарная урожайность 4-6 кг/м2, потенциальная (в южных регионах) –8-10 кг/м2</t>
  </si>
  <si>
    <t>4601729048920</t>
  </si>
  <si>
    <t>Лук душистый Китайский чеснок, мн. 0,3г (А\ц)</t>
  </si>
  <si>
    <t>Многолетний, зимостойкий лук. Дает самую раннюю витаминную зелень, которая остается нежной и сочной на протяжении всего вегетационного периода. Листья плоские, длиной 33-35 см. Вкус полуострый, чесночный. Масса одного растения 15-20 г. Урожайность зеленой массы за сезон 3,5-4,5 кг/м2. Товарная луковица не образуется. Зелень в свежем виде добавляют в салаты, используют как приправу к первым и вторым блюдам. Растения обладают высокой декоративностью.</t>
  </si>
  <si>
    <t>4601729173646</t>
  </si>
  <si>
    <t>Лук Красный император репч. (А\ц)</t>
  </si>
  <si>
    <t>Раннеспелый сорт, неприхотливый, высокоурожайный. Рекомендуется для выращивания на репку в однолетней культуре из семян. От всходов до массового полегания листьев 90-95 дней. Луковица средняя, округло-плоская, масса 90-100 г. Сочные чешуи темно-красного цвета. Отличается приятным, полуострым вкусом, повышенным содержанием витамина С. Сорт универсального использования, пригоден для потребления в свежем виде и длительного хранения. Ценность сорта: стабильная урожайность, отличная вызреваемость и выравненность луковиц. Товарная урожайность репки – до 5,5 кг/м2.</t>
  </si>
  <si>
    <t>4601729159312</t>
  </si>
  <si>
    <t>Лук на зелень Милано (А\ц)</t>
  </si>
  <si>
    <t>Скороспелый – от всходов до первого сбора зелени 40-50 дней. Перья очень нежные, аппетитного пикантного вкуса, очень богаты витаминами и эфирными маслами. Сорт формирует луковички диаметром 1,5-2 см. Предназначен для потребления в свежем виде и консервирования мини-луковиц.</t>
  </si>
  <si>
    <t>4601729167225</t>
  </si>
  <si>
    <t>Лук порей Бандит (А\ц)</t>
  </si>
  <si>
    <t>Холодостойкий, высокоурожайный сорт. От всходов до уборки 110-130 дней. Растения средней высоты, отбеленная часть отличного качества, нежная и сочная, длиной 25-30 см. Обладает приятным, слабо-острым вкусом.</t>
  </si>
  <si>
    <t>4601729064869</t>
  </si>
  <si>
    <t>Лук Ред Барон репч. 0,5г  (А\ц)</t>
  </si>
  <si>
    <t>Сорт раннеспелый, с дружным формированием урожая. Луковица плоско-округлая, плотная, массой 30-40г, полуострого вкуса. Сухие чешуи красного цвета, сочные - тёмно-красные. Отличается высоким содержанием аскорбиновой кислоты.</t>
  </si>
  <si>
    <t>4601729060915</t>
  </si>
  <si>
    <t>Лук Слизун Лидер  (А\ц.)</t>
  </si>
  <si>
    <t>Высокоурожайный среднеспелый салатный сорт. Многолетний. Период от начала отрастания листьев до хозяйственной годности 35-40 дней. Урожайность 3,2-3,8 кг/м2 зеленых листьев за сезон. Листья плоские, широкие, высотой до 30 см, очень нежные и сочные. Вкус приятный, слабо-острый с чесночным запахом. Используется в свежем виде. Сорт зимостойкий, выдерживает температуру до -35°С, дружно отрастает весной и после каждой срезки. Сохраняет прекрасные товарные качества в течении всего сезона. Сроки посева – с ранней весны до середины августа или под зиму – в конце октября.</t>
  </si>
  <si>
    <t>4601729076541</t>
  </si>
  <si>
    <t>Лук Черный принц репч. (А\ц)</t>
  </si>
  <si>
    <t>Среднеспелый полуострый малогнездный сорт. Период от полных всходов до уборки урожая 100-105 дней. Луковицы красивой формы, округлые, плотные, массой 60-100 г. Покровные чешуи темно-фиолетовые, прочные, позволяют обеспечить длительное хранение луковиц, без потери товарных качеств.</t>
  </si>
  <si>
    <t>4601729142024</t>
  </si>
  <si>
    <t>Лук шалот Цебруне (А/ц)</t>
  </si>
  <si>
    <t>Отличный среднеспелый сорт сладкого лука шалота. Формирует луковицы спустя 65-75 дней после появления всходов. В течение всей вегетации возможно проводить выборочную срезку нежного зеленого пера. Ароматная, сочная мякоть отличается большей пикантностью и сладостью, чем у сортов репчатого лука. Урожайность репки достигает 2-2,5 кг/м2.</t>
  </si>
  <si>
    <t>4601729049835</t>
  </si>
  <si>
    <t>Лук Штутгартский великан, репч., дв. 1г (А\ц)</t>
  </si>
  <si>
    <t>Лук Штутгартер является луком раннего срока созревания. Этот лук непревзойденно лежкий и довольно урожайный. Время от отрастания севка и до сбора урожая лука занимает около 65-75 дней. Лук Штутгартер Ризен имеет урожайность до 8 килограммов с квадратного метра. Легкость и вызреваемость у него хорошие.</t>
  </si>
  <si>
    <t>4601729038174</t>
  </si>
  <si>
    <t>Любисток Удалец (А\ц)</t>
  </si>
  <si>
    <t>Многолетнее пряно-ароматическое растение. Период от отрастания до первой срезки 25-30 дней. Урожайность зеленой массы 4-5 кг/м2 за сезон. Растения компактные, высотой до 1 м. Листья крупные, ароматные, хорошо отрастают после срезки. Число листьев в розетке до 40 шт. Используются все части растения в свежем виде, сушеном и замороженном в качестве пряной приправки в домашней кулинарии, солении, мариновании и консервировании.</t>
  </si>
  <si>
    <t>4601729113680</t>
  </si>
  <si>
    <t>Мавританский Газон Летняя сказка 30 гр. (А/ц)</t>
  </si>
  <si>
    <t>Специальная смесь для нарядного мавританского газона. Зелень злаковых трав служит отличным фоном для яркого попурри цветущих луговых растений. Включает семена злаков (мятлик, овсяница, райграс, полевица), цветущих однолетников (гипсофила, аммобиум, резеда, василек) и многолетников (льнянка, дель- 
финиум, нивяник, кореопсис, мыльнянка, тысячелистник). Особенно эффектно мавританская смесь смотрится на небольших площадях. Подбор растений обеспечивает максимально длительный период цветения – с начала лета и до поздней осени.</t>
  </si>
  <si>
    <t>4601729113659</t>
  </si>
  <si>
    <t>Мавританский Газон Солнечная лужайка (А/ц)</t>
  </si>
  <si>
    <t>Смесь многолетних газонных злаковых трав (мятлик, овсяница, райграс, полевица) и неприхотливых садовых и полевых цветов. Состав цветущих растений: календула, хризантема, кореопсис, космос, эшшольция, гипсофила, подсолнечник, лаватера, лен, маттиола, цинния, флокс и другие. Пестрая лужайка полна естественного очарования и не требует сложного ухода. Подбор растений обеспечивает максимально длительный период цветения.</t>
  </si>
  <si>
    <t>4601729113673</t>
  </si>
  <si>
    <t>Мавританский Газон Цветочный ковер (А\ц)</t>
  </si>
  <si>
    <t>Пестрая смесь неприхотливых цветущих растений и многолетних злаковых трав для декоративного мавританского газона. Состав злаков: мятлик, овсяница, райграс, полевица. Состав цветущих растений: гипсофила, василек, календула, малопе, хризантема, фацелия, укроп, подсолнечник, огуречная трава и другие. Подбор растений обеспечивает максимально длительный период цветения. Непрерывное цветение великолепного живого ковра продолжается до поздней осени.</t>
  </si>
  <si>
    <t>4601729113666</t>
  </si>
  <si>
    <t>Мавританский газон Цветущее лето (А/ц)</t>
  </si>
  <si>
    <t>Специальная смесь для цветущего газона. Устойчивые многолетние злаки (мятлик, овсяница, райграс, полевица) служат фоном для пестрого микса неприхотливых цветов дикой флоры. Ароматные цветы привлекают бабочек и пчел. Подбор растений обеспечивает максимально длительный период цветения. Наряду с привычными однолетниками в смеси присутствует 4 вида клевера, фацелия и люцерна. Эти красивоцветущие растения известны как улучшители структуры и плодородия почвы.</t>
  </si>
  <si>
    <t>4601729003295</t>
  </si>
  <si>
    <t>Майоран Байкал садовый (А\ц)</t>
  </si>
  <si>
    <t>Популярный пряно-ароматический однолетник. Прекрасный медонос. Растения прямостоячие, высотой 50-55 см, хорошо облиственные, массой 35-40 г, с приятным сильным ароматом. Урожайность зелени 0,6- 0,8 кг/м2. Листья и молодые побеги в свежем и сушеном виде используются в кулинарии как пряно-вкусовая приправа.</t>
  </si>
  <si>
    <t>4601729145148</t>
  </si>
  <si>
    <t>Майоран садовый Букет невесты (А/ц)</t>
  </si>
  <si>
    <t>Майоран – одна из самых популярных приправ во многих кухнях мира. Однолетник. Это близкий родственник душицы, но обладает более нежным вкусом и ароматом. Кустики высотой 30-50 см, ветвистые, с серебристым оттенком. При выращивании в грунте они стелятся и покрывают достаточно большую площадь, а при посадке в горшки красиво свешиваются через края контейнера. Заготавливают сырье два раза за сезон: летом, перед цветением, и в начале осени.</t>
  </si>
  <si>
    <t>4601729165467</t>
  </si>
  <si>
    <t>Мелотрия (Мышиная дыня) Микки (А/ц)</t>
  </si>
  <si>
    <t>Однолетняя, травянистая лиана для декоративного оформления беседок, арок, пергол в саду. Мелотрия более известна как мышиная дыня или африканский огурец. Растения вьющиеся, образуют множество боковых побегов длиной до 300 см, которые легко укореняются и радуют яркой зеленью до заморозков. Побеги ловко и прочно закрепляются за опоры с помощью цепких усиков. Обилие желтых цветков формирует съедобные завязи спустя 55-60 дней после всходов. Плоды длиной 2-3 см, сочные, кисловатые. Сорт устойчив к болезням и вредителям, объемная зеленая масса стремительно подавляет сорняки.</t>
  </si>
  <si>
    <t>4601729135163</t>
  </si>
  <si>
    <t>Микрозелень Базилик, смесь (А/ц)</t>
  </si>
  <si>
    <t>Нежная и душистая зелень с легкими нотками аниса и гвоздики. Растет быстро и дружно. Настоящая витаминная бомба! Стимулирует иммунитет и мозговую активность, способствует концентрации внимания и сглаживает последствия стресса. Помогает в борьбе с лишним весом. Микрозелень Базилик – незаменимая добавка к бутербродам и салатам, мясным и рыбным блюдам.</t>
  </si>
  <si>
    <t>4601729113475</t>
  </si>
  <si>
    <t>Микрозелень Горчица микс (А/ц)</t>
  </si>
  <si>
    <t>Микрозелень – молодые растения в фазе первой пары настоящих листьев. Срезаются через 10 дней после всходов. Содержат максимальное количество витаминов, микроэлементов, минеральных солей, каротиноидов и белков. Значительно полезней, чем взрослые растения. Улучшат и разнообразят рацион.
В состав cмеси входят горчица сарептская (салатная) Веснушка и горчица сарептская (салатная) Частушка</t>
  </si>
  <si>
    <t>4601729134760</t>
  </si>
  <si>
    <t>Микрозелень Здоровый дуэт, смесь (А/ц)</t>
  </si>
  <si>
    <t>Кладезь здоровья: быстро и полезно! Свежая зелень обладает приятным сочным вкусом и ароматом. Идеально дополнит и украсит бутерброды, салаты, гарниры. Состав смеси: свекла столовая «Рубиновая королева» 50 % – яркие бордовые ростки, шпинат «Илья Муромец» 50 % – нежно-салатовые. Перед посевом семена рекомендуется замочить в теплой воде на сутки. Высота проростков к сроку срезки достигает 6-7 см. Приятного аппетита!</t>
  </si>
  <si>
    <t>4601729173196</t>
  </si>
  <si>
    <t>Микрозелень Луковое царство, смесь (А/ц)</t>
  </si>
  <si>
    <t>Микрозелень – это молодые растения в фазе семядольных или первых настоящих листьев. Пищевая ценность таких растений значительно выше, чем взрослых. Микрозелень содержит максимальное количество полезных витаминов, макро- и микроэлементов. Готова к срезке и употреблению на 7-10 день после посева. В зимнее время микрозелень лука просто незаменима. Она послужит надежным щитом для иммунитета в период простуд.</t>
  </si>
  <si>
    <t>4601729113499</t>
  </si>
  <si>
    <t>Микрозелень Мангольд микс (А/ц)</t>
  </si>
  <si>
    <t>Готова к срезке и употреблению на 7-10 день после посева!
Микрозелень мангольд (или листовая свекла), обладает свежим, сладковатым вкусом и мягким послевкусием. Из одного семени вырастает до 2-3 росточков. При высоте 5-7 см они максимально полезны и готовы к употреблению. Молодые растения укрепляют иммунитет, благотворно влияют на пищеварительную систему и нормализуют уровень сахара в крови</t>
  </si>
  <si>
    <t>4601729135583</t>
  </si>
  <si>
    <t>Микрозелень Фитнес микс (А/ц)</t>
  </si>
  <si>
    <t>Микрозелень содержит максимальное количество полезных макро- и микроэлементов, витаминов и других натуральных биологически активных веществ. Готова к срезке и употреблению на 7-10 день после посева! В состав смеси входят эндивий Королевский и цикорный салат Пала Росса. Это неприхотливые и быстрорастущие культуры.</t>
  </si>
  <si>
    <t>4601729057335</t>
  </si>
  <si>
    <t>Морковь Витаминная (лента) (А/ц)</t>
  </si>
  <si>
    <t>лента</t>
  </si>
  <si>
    <t>Сорт среднеспелый (период от всходов до технической спелости 90-110 дней), высокоурожайный. Корнеплоды длиной 15 см, цилиндрические, тупоконечные, массой 61-165 г. Окраска поверхности и мякоти корнеплода - оранжевая. Сердцевина маленькая, по цвету не отличается от мякоти. Вкусовые качества отличные.</t>
  </si>
  <si>
    <t>4640012534962</t>
  </si>
  <si>
    <t>Морковь Деревенская (А\ц)</t>
  </si>
  <si>
    <t>Сорт среднеспелый, высокоурожайный. Корнеплоды цилиндрические, тупоконечные. Сердцевина очень маленькая, красно-оранжевая, мякоть красно-оранжевая, сочная, нежная, сладкая, кора оранжевая. Масса корнеплода 130-210 г, длина 19-21 см, диаметр 2,5-3 см.</t>
  </si>
  <si>
    <t>4640012530025</t>
  </si>
  <si>
    <t>Морковь Детская (А\ц)</t>
  </si>
  <si>
    <t>Сорт среднеспелый, высокоурожайный. Корнеплоды цилиндрические, тупоконечные. Сердцевина маленькая, мякоть красно-оранжевая, сочная, нежная, сладкая. Отличается самым высоким содержанием витаминов, каротина и сахара среди среднеспелых сортов. Масса корнеплода 130-200 г, длина 19-21 см, диаметр 2,5-3,0 см, длина ботвы 35-40 см. Корнеплоды очень лёжкие, высоких вкусовых качеств и имеют привлекательный товарный вид. Рекомендуется для потребления в свежем виде, для изготовления высококачественных сладких соков и пюре с повышенным содержанием витаминов - для детей. Компания «АЭЛИТА» является эксклюзивным продавцом семян моркови сорта «Детская®».</t>
  </si>
  <si>
    <t>4601729095245</t>
  </si>
  <si>
    <t>Морковь Детская сладость * (лента) (А/ц)</t>
  </si>
  <si>
    <t>Среднеранний сорт для свежего потребления и для использования на пучковую продукцию. Сортотип Амстердамская. Корнеплод массой 90-130 г, с отличными вкусовыми качествами. Товарная урожайность высокая, 7 кг/м2. Хорошее летнее лакомство для детей и взрослых.</t>
  </si>
  <si>
    <t>4601729095238</t>
  </si>
  <si>
    <t>Морковь Зимний нектар (лента) (А/ц)</t>
  </si>
  <si>
    <t>Морковь Зимний Нектар - среднеспелый сорт. Корнеплоды великолепного вкуса, сладкие, сочные, не растрескиваются. Хорошо хранятся длительное время и транспортируются. Сорт устойчив к цветушности. Семена на ленте, тщательно подготовлены к посеву</t>
  </si>
  <si>
    <t>4601729057342</t>
  </si>
  <si>
    <t>Морковь Император * (лента) (А/ц)</t>
  </si>
  <si>
    <t>Позднеспелый, высокоурожайный сорт. Лидер по содержанию каротина. Корнеплоды крупные, длинные (сортотип Берликум), массой 150-200 г. Вкус отличный. Идеальный сорт для длительного зимнего хранения – способен храниться до нового урожая без потери потребительских качеств.</t>
  </si>
  <si>
    <t>4870729095252</t>
  </si>
  <si>
    <t>Морковь Канада F1 * (лента) (А/ц)</t>
  </si>
  <si>
    <t>Высокоурожайный среднепоздний гибрид, обеспечивающий отличные результаты на тяжелых почвах. Сортотип Флакке. Корнеплоды массой 130-170 г, урожайность – 7-8 кг/м2. Для свежего потребления, переработки и зимнего хранения. Высокие потребительские качества сохраняются вплоть до нового урожая.</t>
  </si>
  <si>
    <t>4603418002954</t>
  </si>
  <si>
    <t>Морковь Канада F1 150шт. (А\ц)</t>
  </si>
  <si>
    <t>Высокоурожайный среднепоздний гибрид, обеспечивающий отличные результаты на тяжелых почвах. Сортотип Флакке. Корнеплоды массой 130-170 г, урожайность – 7-8 кг/м2. Для свежего потребления, переработки и зимнего хранения.</t>
  </si>
  <si>
    <t>4601729057359</t>
  </si>
  <si>
    <t>Морковь Королева осени * (лента) (А/ц)</t>
  </si>
  <si>
    <t>Позднеспелый урожайный сорт. Корнеплод оранжево-красный, удлиненно-конусовидный, длиной до 25 см, массой до 230 г. Мякоть сочная, нежная, очень сладкая.</t>
  </si>
  <si>
    <t>4601729104541</t>
  </si>
  <si>
    <t>Морковь Красный великан * (лента) (А/ц)</t>
  </si>
  <si>
    <t>Суперурожайный среднеспелый сорт. Полностью убирают урожай на 100-120 день после всходов. Корнеплоды  гладкие, выровненные, длиной до 25 см.Сорто тип Флакке. Сердцевина небольшая. Мякоть красно-оранжевая, очень вкусная, сладкая и сочная. Подходит для приготовления сока. Сорт холодостойкий, неприхотливый, устойчив к цветушности и растрескиванию корнеплодов. Отлично хранится до нового урожая. Один из лучших для подзимнего посева.</t>
  </si>
  <si>
    <t>4601729057366</t>
  </si>
  <si>
    <t>Морковь Лакомка (лента) (А/ц)</t>
  </si>
  <si>
    <t>Среднеранний сорт нантского сортотипа. Корнеплоды массой 90-160 г, с повышенным содержанием сахаров и каротина. Сорт гармонично сочетает высокую урожайность ( 6-8 кг/м2), отличный вкус, устойчивость к растрескиванию корнеплодов и цветушности. Великолепно хранится без потери вкусовых качеств.</t>
  </si>
  <si>
    <t>4601729057373</t>
  </si>
  <si>
    <t>Морковь Лосиноостровская 13 (лента) (А/ц)</t>
  </si>
  <si>
    <t>Сорт среднеспелый, формирует урожай за 100-110 дней от всходов. Корнеплод цилиндрический (сортотип Берликум-Нантская), массой 160-170 г. Мякоть оранжевая, сочная, с повышенным содержанием каротина, отличного вкуса.</t>
  </si>
  <si>
    <t>4603418009960</t>
  </si>
  <si>
    <t>Морковь Мармеладка * (лента) (А/ц)</t>
  </si>
  <si>
    <t>Сорт среднеспелый, от всходов до уборки 100 дней. Корнеплод нантского сортотипа, массой 100-160 г. Мякоть сочная, нежная, сладкая.</t>
  </si>
  <si>
    <t>4601729113338</t>
  </si>
  <si>
    <t>Морковь Медовая * (лента) (А/ц)</t>
  </si>
  <si>
    <t>Универсальный среднепоздний сорт для свежего потребления и зимнего хранения. Формирует урожай за 115-125 дней от всходов. Корнеплод нантского сортотипа, длинный, массой 120-210 г. Вкус отличный, сладкий. Содержание общего сахара доходит до 10%, каротина – до 12 мг на 100 г сырого вещества. Урожайность 5-7 кг/м2</t>
  </si>
  <si>
    <t>4601729095283</t>
  </si>
  <si>
    <t>Морковь Мо (лента) (А/ц)</t>
  </si>
  <si>
    <t>Высокоурожайный среднепоздний сорт. Сортотип Шантенэ. Корнеплоды крупные, массой 100-210 г, с высоким содержанием каротина и сахаров, отличного вкуса. Рекомендуется для свежего потребления, переработки и длительного хранения (6-7месяцев). Урожайность – 7-8 кг/м2. Сорт устойчив к цветушности и кратковременной засухе. Семена на ленте – очень просто и удобно! Семена тщательно подготовлены к посеву и находятся между двумя тонкими слоями ленты, полностью растворимой во влажной среде. Материал ленты – 100% целлюлоза, не содержит клея. Технология запатентована. Общая длина ленты – 8 м. Лента состоит из трех частей. Перед использованием их нужно отделить друг от друга и расправить. Длина каждой части – 2,67 м. На каждой части располагаются ≈ 80 семян моркови (всего ≈ 240 шт.).</t>
  </si>
  <si>
    <t>4601729054709</t>
  </si>
  <si>
    <t>Морковь Нантская 4 * (лента) (А/ц)</t>
  </si>
  <si>
    <t>Среднеспелый сорт с цилиндрическими корнеплодами длиной 14-16 см и массой 95-160 г. Один из лучших по вкусовым качествам. Урожайность высокая, 6-7 кг/м2.</t>
  </si>
  <si>
    <t>4601729095306</t>
  </si>
  <si>
    <t>Морковь Несравненная (лента) (А/ц)</t>
  </si>
  <si>
    <t>Сорт среднего-среднепозднего срока созревания. Сортотип Берликум-Нантская. Корнеплоды массой 90-200 г, с отличными вкусовыми качествами. Урожайность – 6-7 кг/м2. Для свежего потребления, переработки и длительного хранения. Сорт засухоустойчивый, устойчив к цветушности.</t>
  </si>
  <si>
    <t>4601729095313</t>
  </si>
  <si>
    <t>Морковь НИИОХ  (лента) (А/ц)</t>
  </si>
  <si>
    <t>Популярный среднеспелый сорт. Сортотип Берликум-Нантская. Корнеплод массой 100-130 г, с гладкой поверхностью, с превосходным вкусом. Урожайность высокая, до 9 кг/м2. Для потребления в свежем виде, переработки и длительного хранения. Устойчив к цветушности.</t>
  </si>
  <si>
    <t>4601729039430</t>
  </si>
  <si>
    <t>Морковь Осенний король (лента) (А\ц)</t>
  </si>
  <si>
    <t>Высокоурожайный, среднепоздний сорт (период от всходов до уборки урожая 110-115 дней). Корнеплоды цилиндрические (сортотип Нантская), длиной 20-23 см, массой 100-250 г, с небольшой сердцевиной. Мякоть сочная, нежная, сладкая. Подходит для всех видов переработки и длительного зимнего хранения.</t>
  </si>
  <si>
    <t>4601729095320</t>
  </si>
  <si>
    <t>Морковь Ранняя сладкая (лента) (А/ц)</t>
  </si>
  <si>
    <t>Скороспелый сорт со стабильной урожайностью 4-5 кг/м2. Сортотип Амстердамская. Корнеплод массой 50-150 г, с нежной, сочной мякотью, с прекрасным вкусом. Рекомендуется для свежего потребления, выращивания на пучковую продукцию. Сорт устойчив к растрескиванию корнеплодов и цветушности.</t>
  </si>
  <si>
    <t>4601729088681</t>
  </si>
  <si>
    <t>Морковь Ройал Форто (лента) (А/ц)</t>
  </si>
  <si>
    <t>Сердцевина среднего размера, оранжевая. Масса корнеплода 89-108 г. Вкусовые качества хорошие. Товарная урожайность 312-450ц/га, выше стандарта Нантская 4 на 72-167 ц/га. Выход товарной продукции 73 — 86% , у стандарта 77-78%. Ценность сорта — стабильная урожайность, выравненность корнеплодов, хорошие вкусовые качества при хранении.</t>
  </si>
  <si>
    <t>4601729050190</t>
  </si>
  <si>
    <t>Морковь Самсон (лента) (А\ц)</t>
  </si>
  <si>
    <t>Среднеспелый сорт голландской селекции. Корнеплоды нантского сортотипа, длиной 16-20 см, массой 130-150 , с отличными вкусовыми качествами. Рекомендуются для потребления в свежем виде, переработки и длительного зимнего хранения. Урожайность высокая, 7-8 кг/м2</t>
  </si>
  <si>
    <t>4601729104558</t>
  </si>
  <si>
    <t>Морковь Сахарная королева (лента) (А/ц)</t>
  </si>
  <si>
    <t>Новый, среднеспелый сорт сортотипа Флакке. Формирует урожай за 95-105 дней от всходов. Урожайность высокая, 5-6 кг/м2. Корнеплоды массой 200-250 г, с небольшой сердцевиной. Вкусовые качества отличные. Сорт пластичный, устойчив к цветушности и растрескиванию корнеплодов. Пригоден для зимнего хранения.</t>
  </si>
  <si>
    <t>4640012530230</t>
  </si>
  <si>
    <t>Морковь Сладкоежка F1 0,25г (А\ц)</t>
  </si>
  <si>
    <t>Позднеспелый сорт, вегетационный период в среднем 120 дней. Корнеплод конической формы достаточной крупный: порядка 18 см в длину и 2,5 см в диаметре. Имеет яркий оранжево-красный окрас. В весе достигает 100 граммов. Мякоть плотная, сочная, очень сладкая.</t>
  </si>
  <si>
    <t>4601729039416</t>
  </si>
  <si>
    <t>Морковь Сластена (лента) (А/ц)</t>
  </si>
  <si>
    <t>Cреднепоздний сорт (сортотип Берликум). Корнеплоды массой 90-150 г, длиной 18-20 см, с отличным вкусом. Рекомендуются для использования в свежем виде, зимнего хранения, консервирования, замораживания. Сорт устойчив к цветушности и растрескиванию корнеплодов. Урожайность 5-7 кг/м2</t>
  </si>
  <si>
    <t>4601729104565</t>
  </si>
  <si>
    <t>Морковь Супер Мускат * (лента) (А/ц)</t>
  </si>
  <si>
    <t>Среднеспелый сорт, период от всходов до технической спелости 90-110 дней. Корне-плоды цилиндрические (сортотип Нантская), гладкие, массой 90-160 г. Сорт используется для выращивания на пучковую продукцию в защищенном и открытом грунте. Корнеплоды лежкие, пригодны для зимнего хранения. Урожайность 5-6 кг/м2.</t>
  </si>
  <si>
    <t>4601729113314</t>
  </si>
  <si>
    <t>Морковь Янтарный сахар * (лента) (А/ц)</t>
  </si>
  <si>
    <t>Перспективный сорт с превосходным вкусом и высокой урожайностью – 6-8 кг/м2. Среднеспелый, формирует урожай за 100-110 дней от всходов. Корнеплоды нантского сортотипа, массой 110-170 г, с высоким содержанием сахаров и каротина. Поверхность гладкая. Сорт идеален для детского питания, подходит для длительного хранения.</t>
  </si>
  <si>
    <t>4601729073533</t>
  </si>
  <si>
    <t>Мята Корейская (А\ц)</t>
  </si>
  <si>
    <t>Многолетнее пряно-ароматическое и лекарственное растение. Кусты крупные, прямостоячие, высотой 80-100 см. Листья и стебли растения имеют уникальный яркий аромат, сочетающий в себе тона мяты, душицы и аниса. Их используют в свежем и сушеном виде для приготовления ароматного чая и напитков, добавляют в салаты и маринады. Широко при- меняют в медицине. Можно выращивать в горшках как однолетник. Зимует под легким воздушно-сухим укрытием.</t>
  </si>
  <si>
    <t>4601729085741</t>
  </si>
  <si>
    <t>Мята Ментол (А\ц)</t>
  </si>
  <si>
    <t>Многолетнее растение высотой 65 см. Среднеспелый сорт, начало хозяйственной годности наступает через 90 дней после полных всходов. На второй и последующие годы жизни зелень можно использовать с конца апреля в течение всего сезона. Облиственность высокая. Урожайность зеленой массы 2 кг/м2. Устойчив к вредителям. Болезнями практически не поражается. Любимая трава многих кухонь мира, мята перечная используется в самых разнообразных блюдах – фруктовых и овощных салатах, супах, мясных, рыбных, творожных блюдах, соусах и маринадах. Лист мяты традиционно применяется для ароматизации напитков, улучшает вкус томатного сока. Рекомендуется для использования в свежем и сушеном виде.</t>
  </si>
  <si>
    <t>4601729167515</t>
  </si>
  <si>
    <t>Огурец Алтайский пучок (А\ц)</t>
  </si>
  <si>
    <t>Скороспелый, очень вкусный и мегаурожайный! Гибрид для свежих салатов и засолки. В пленочных теплицах позволяет собирать до 17-20 кг/м2 продукции. Растения сильнорослые, средневетвистые, завязи формируют пучками – по 5-8 шт. в каждом. При хорошем уходе и до 10 плодов в одном узле. От всходов до сбора первых хрустящих ароматных белошипых огурчиков проходит 40-43 дня. Средняя масса 100-115 г. Гибрид устойчив к комплексу основных заболеваний культуры.</t>
  </si>
  <si>
    <t>4601729153167</t>
  </si>
  <si>
    <t>Огурец Армянский (А/ц)</t>
  </si>
  <si>
    <t>Экзотическая культура, часто именуемая огуречной дыней. Сочетает свойства этих двух растений семейства Тыквенные, являясь одновременно и фруктом, и овощем. В средней полосе выращивается в теплицах, так как тепло-, влаголюбивая и требует подвязки плетей. Плоды оригинальные, змеевидной (отдельные – изогнутой) формы, длиной до 45 см. Мякоть очень ароматная, более вкусная и нежная, чем у традиционного огурца.</t>
  </si>
  <si>
    <t>4601729137396</t>
  </si>
  <si>
    <t>Огурец Баба Маша F1 (А\ц)</t>
  </si>
  <si>
    <t>Раннеспелый, пчелоопыляемый гибрид (41-45 дней от всходов до плодоношения), для выращивания в открытом грунте и под пленочными укрытиями. Плоды используются в свежем виде, для маринования и для засолки в начале сезона сбора плодов.</t>
  </si>
  <si>
    <t>4601729139192</t>
  </si>
  <si>
    <t>Огурец Без хлопот F1, парт. 0,25 г (А\ц)</t>
  </si>
  <si>
    <t>Раннеспелый, высокоурожайный, до 13 кг/кв.м, пчелоопыляемый гибрид (40-44 дня от всходов до плодоношения), для выращивания в открытом грунте и под пленочными укрытиями. Зеленец цилиндрический, мелкобугорчатый, без пустот и горечи, хрустящий, длиной 8-10 см, массой 90-100 г. Вкусовые качества отличные.</t>
  </si>
  <si>
    <t>4601729139970</t>
  </si>
  <si>
    <t>Огурец Великолепная пятерка F1 (А\ц)</t>
  </si>
  <si>
    <t>Ультраскороспелый партенокарпический гибрид (oт всходов до плодоношения 38-42 дня) с букетным типом цветения. Зеленец темно-зеленый, длиной 10-12 см, цилиндрической формы, мелкобугорчатый. Обладает сладковатым вкусом и замечательным ароматом, никогда не горчит. Плодоносит до заморозков. Урожайность 15-16 кг/м2.</t>
  </si>
  <si>
    <t>4601729173080</t>
  </si>
  <si>
    <t>Огурец Веселая такса F1 (А\ц)</t>
  </si>
  <si>
    <t>Раннеспелый партнокарпический гибрид китайского сортотипа, не требует опыления. Отличается великолепными вкусовыми качествами. Сочные ароматные огурчики начинают собирать через 45-50 дней от всходов. На растении преобладают женские цветки при минимальном числе мужских. Это залог стабильно высокой урожайности. Плоды можно срывать при достижении ими массы 40-50 г, а максимально они вырастают до 160-170 г и длиной до 40 см! Гибрид устойчив к ряду болезней культуры, отдает урожай до окончания теплого сезона.</t>
  </si>
  <si>
    <t>4601729140846</t>
  </si>
  <si>
    <t>Огурец Веселые гномики F1, парт. 0,25г (А\ц)</t>
  </si>
  <si>
    <t>Ультраскороспелый партенокарпический гибрид с пучковым типом заложения завязей. В каждом узле образуется целый букет корнишонов – 5-8 шт! Первые огурчики собирают уже на 38 день после всходов. Плодоносит до осени. Зеленцы короткие, не перерастают, невероятно сочные и хрустящие, без горечи. Идеальны для засолки. Урожайность в теплице 17-18 кг/м2.</t>
  </si>
  <si>
    <t>4680037353575</t>
  </si>
  <si>
    <t>Огурец Веселые ребята F1  (А\ц)</t>
  </si>
  <si>
    <t>Очень ранний, самоопыляемый, партенокарпический, крепкий, хрустящий, без горечи, устойчив к болезням, хорош в свежем виде, для засолки и консервирования. Растение среднеплетистое. Зеленец крепкий, хрустящий, ярко-зеленого цвета, крупнобугорчатый, овально-цилиндрический, масса 70-95 г, длина 7,5-9,5 см. Можно выращивать в домашних условиях.</t>
  </si>
  <si>
    <t>4601729139550</t>
  </si>
  <si>
    <t>Огурец Веселые соседи F1(пч) 10 шт. (А\ц)</t>
  </si>
  <si>
    <t>Раннеспелый, высокоурожайный, до 13 кг/м2, пчёлоопыляемый гибрид (от всходов до начала съёмной спелости 40-45 дней), преимущественно женского типа цветения, с длительным периодом плодоношения. Огурчики цилиндрические, длиной 8-10 см, массой 100-110 гр, мелкобугорчатые, светло-зелёные, вкус отличный, без горечи. Плоды подходят для употребления в свежем виде, для засолки, а так же консервирования в виде корнишонов (3-6 см) и зеленцов (до 10 см).</t>
  </si>
  <si>
    <t>4601729186004</t>
  </si>
  <si>
    <t>Огурец Вкусная гирлянда F1  (А\ц)</t>
  </si>
  <si>
    <t>Неприхотливый партенокарпический гибрид для выращивания на шпалерах в открытом и защищенном грунте. Первые плоды снимают на 40-50 день от появления всходов. Зеленцы длиной 18-20 см, насыщенного темно-зеленого цвета, хрустящие, с сочной мякотью. Хорошо переносят транспортировку. Рекомендуем использовать в свежем виде. Гибрид легко адаптируется к перепадам температуры. Устойчив к МР, ЛМР, ВОМ.</t>
  </si>
  <si>
    <t>680037353582</t>
  </si>
  <si>
    <t>Огурец Внученька F1 (А/ц)</t>
  </si>
  <si>
    <t>Очень ранний самоопыляемый партенокарпический гибрид. Отличительные свойства: увеличенный период плодоношения, суперурожайность, высокая товарность плодов. Не содержит горечи. Хорош в засолке! Можно выращивать в домашних условиях.</t>
  </si>
  <si>
    <t>4680037353506</t>
  </si>
  <si>
    <t>Огурец Внучок F1, парт.  0,25г (А\ц)</t>
  </si>
  <si>
    <t>Очень урожайный. Очень ранний. Партенокарпический. Самоопыляемый. Устойчив к болезням. Крепкие, вкусные, хрустящие зеленцы без горечи. Можно выращивать в домашних условиях.</t>
  </si>
  <si>
    <t>4601729137402</t>
  </si>
  <si>
    <t>Огурец Все путем F1 (А\ц)</t>
  </si>
  <si>
    <t>Раннеспелый партенокарпический гибрид для выращивания под пленочными укрытиями. Растения женского типа цветения, закладывают по 3-7 завязей в каждом узле. Зеленцы цилиндрические, массой 90-100 г, длиной 10-12 см, бугорчатые, опушение белое. Огурчики без горечи, очень вкусные, сочные и хрустящие.</t>
  </si>
  <si>
    <t>4601729139987</t>
  </si>
  <si>
    <t>Огурец Все пучком F1, 0.25г (А\ц)</t>
  </si>
  <si>
    <t>Партенокарпический, высокоурожайный гибрид с длительным плодоношением для открытого грунта и теплиц. Раннеспелый, от всходов до первого сбора 40-42 дня. Проявляют склонность к букетному заложению завязей. Зеленцы короткие, хрустящие и сочные. Вкус отличный, без горечи. Гибрид высокоустойчив к грибным инфекциям. Урожайность 15-18 кг/м2.</t>
  </si>
  <si>
    <t>4601729141096</t>
  </si>
  <si>
    <t>Огурец Всем на радость F1 (А/ц)</t>
  </si>
  <si>
    <t>Партенокарпический гибрид коктейльного типа. Рекомендуется для теплиц и открытого грунта. Раннеспелый, от всходов до начала съёмной спелости 45-50 дней. Растение длинноплетистое, с сильным ветвлением. В узле закладывается 2-4 завязи. Зеленец гладкий, короткоплодный – 8-10 см. Масса плода 80-100 г. Кожица тонкая, мякоть очень сочная и хрустящая. Гибрид отлично подходит для свежего потребления, приготовления салатов и маринования. Урожайность под пленкой 12-14 кг/м 2 .</t>
  </si>
  <si>
    <t>4601729137792</t>
  </si>
  <si>
    <t>Огурец Вязниковский, пч. 0.5г  (А/ц)</t>
  </si>
  <si>
    <t>Скороспелый сорт, для открытого грунта. Зеленец короткоплодный, мелко-бугорчатый, черношипый, длиной 9-11 см, с отличными вкусовыми качествами в свежем и консервированном виде. Сорт устойчив к кратковременным похолоданиям, к настоящей мучнистой росе и бактериозам.</t>
  </si>
  <si>
    <t>4601729193606</t>
  </si>
  <si>
    <t>Огурец Городской пижон F1 5 шт. (А\ц)</t>
  </si>
  <si>
    <t>Партенокарпический гибрид корнишонного типа с букетным типом цветения. Рекомендуется для выращивания в контейнерах на солнечных подоконниках и балконах, а также в теплицах и открытом грунте. По срокам созревания – раннеспелый, от всходов до сбора первых огурчиков 40-45 дней. Растения с короткими междоузлиями, формируют в узле 1-3 завязи и более. Плоды длиной 8-11 см, массой 50-80 г. Вкус превосходный, без горечи. Зеленцы плотные, хрустящие, отлично подходят для засолки и маринования. Гибрид устойчив к бактериозу и настоящей мучнистой росе, вынослив к пероноспорозу.</t>
  </si>
  <si>
    <t>4601729140457</t>
  </si>
  <si>
    <t>Огурец Детки на ветке F1, пч.10 шт. (А/ц)</t>
  </si>
  <si>
    <t>Высокоурожайный, раннеспелый гибрид. Пчелоопыляемый. Первые плоды снимают на 42-45 день после всходов. Подходит для открытого грунта и пленочных укрытий. Растения женского типа цветения, в каждом узле формируется по 2-3 огурчика. Зеленцы короткие, длиной 9-10 см, без пустот, не желтеют и не перерастают. Обладают отличным вкусом, не горчат, сочные и хрустящие. Великолепно подходят для засолки, сохраняют упругость и плотность. Гибрид достаточно болезнеустойчив. Урожайность высокая - 10-11 кг/м2.</t>
  </si>
  <si>
    <t>4680037353520</t>
  </si>
  <si>
    <t>Огурец Детский  (А\ц)</t>
  </si>
  <si>
    <t>Интересная форма куста с длинными плетьми, покрытыми маленькими листьями. Во время цветения всё растение усеяно цветами, которые позже превращаются в миниатюрные огурчики. Гибрид раннеспелый партенокарпический, самоопыляемый.</t>
  </si>
  <si>
    <t>4601729139642</t>
  </si>
  <si>
    <t>Огурец Ежики F1 (парт) 0,25 гр (А\ц)</t>
  </si>
  <si>
    <t>Неприхотливый, раннеспелый, партенокарпический гибрид (40-45 дней от всходов до плодоношения), для выращивания в открытом грунте и под пленочными укрытиями. Растение короткоплетистое, зеленец цилиндрический, мелкобугорчатый, хрустящий, длиной 10-12 см. Отличный вкус плодов в свежем и соленом виде. Урожайность 12-14 кг/м2.</t>
  </si>
  <si>
    <t>4601729141256</t>
  </si>
  <si>
    <t>Огурец Засолочный (пч) 0,3 гр  (А\ц)</t>
  </si>
  <si>
    <t>Раннеспелый, пчелоопыляемый сорт. Растение длинноплетистое, индетерминантное. Длина зеленца 10-11 см. Масса зеленца 100-125 г. Вкусовые качества свежих и соленых плодов отличные.</t>
  </si>
  <si>
    <t>4601729127311</t>
  </si>
  <si>
    <t>Огурец китайский Анаконда F1 (А/ц)</t>
  </si>
  <si>
    <t>Высокоурожайный партенокарпический гибрид с плодами неповторимого вкуса и особым ароматом. Рекомендуется для выращивания в защищенном грунте. От всходов до первого сбора 47-52 дня. Растения слабоветвящиеся, преимущественно женского типа цветения. Наличие мужских цветков способствует регулированию количества завязей и формированию длинных плодов. Зеленцы плотные, без пустот, длиной 30-50 см,  Ø 3 см, с маленьким семенным гнездом. Огурчики нежные и сладкие, отлично подходят для салатов и приготовления малосольной продукции. Гибрид устойчив к кладоспориозу, настоящей мучнистой росе и ВОМ. Урожайность 11-13 кг/м 2.</t>
  </si>
  <si>
    <t>4601729127830</t>
  </si>
  <si>
    <t>Огурец Китайский пломбир F1 (А/ц)</t>
  </si>
  <si>
    <t>Сладкий и ароматный китайский огурчик. Рекомендуется выращивать в защищенном грунте. Раннего срока созревания – сбор плодов начинают на 45-50 день от всходов. Партенокарпический, женского типа цветения, формирует плоды в каждом узле, без пропусков. Огурчики светло-зеленого цвета, длиной 22-25 см и более, с небольшим количеством шипов, совершенно не горчат. Прекрасно подходят для свежих летних салатов. Гибрид толерантен к основым болезням культуры и высокоустойчив к жаре. Урожайность 10-12 кг/м2.</t>
  </si>
  <si>
    <t>4601729176586</t>
  </si>
  <si>
    <t>Огурец Клевый парень F1 (А\ц)</t>
  </si>
  <si>
    <t>Партенокарпический гибрид c пучковым заложением завязей. Среднеспелый, от всходов до начала сбора огурчиков 50-55 дней. Для выращивания в теплицах. Плоды длиной 16-18 см, отличного вкуса. Подходят для салатов и получения малосольной продукции. Гибрид устойчив к вирусу огуречной мозаики, корневым гнилям, среднеустойчив к настоящей мучнистой росе.</t>
  </si>
  <si>
    <t>4601729152542</t>
  </si>
  <si>
    <t>Огурец Коктейльный F1 (А\ц)</t>
  </si>
  <si>
    <t>Раннеспелый партенокарпический гибрид. От всходов до сбора первых плодов 45-50 дней. Для теплиц и открытого грунта. Растение с укороченными междоузлиями, женского типа цветения. В каждом узле формируется 2-4 огурчика, массой 70-90 г. Кожица тонкая, мякоть очень сочная и хрустящая. Урожайность в теплице 14-16 кг/м2.</t>
  </si>
  <si>
    <t>4680037353544</t>
  </si>
  <si>
    <t>Огурец Куча мала F1,  парт. 0,25 г (А/ц)</t>
  </si>
  <si>
    <t>Каждый цветок – огурчик. Очень урожайный. Раннеспелый. Устойчив к болезням. Партенокарпический. Самоопыляемый. Крепкие, вкусные, хрустящие зеленцы без горечи. Можно выращивать в домашних условиях.</t>
  </si>
  <si>
    <t>4601729141775</t>
  </si>
  <si>
    <t>Огурец Либелле F1, пч.  0,3 г. (А\ц)</t>
  </si>
  <si>
    <t>Высокоурожайный среднеспелый пчелоопыляемый гибрид, период от всходов до плодоношения 49-52 дня. Рекомендуется для открытого грунта и пленочных укрытий. Урожайность 8-10 кг/м2. Растения преимущественно женского типа цветения. Плоды веретеновидные, мелкобугорчатые, длиной 10-13 см, массой 100-140 г, плотные, хрустящие. Вкус отличный, без горечи.</t>
  </si>
  <si>
    <t>4601729140938</t>
  </si>
  <si>
    <t>Огурец Любимец семьи F1, парт. 0,25г (А\ц)</t>
  </si>
  <si>
    <t>Скороспелый партенокарпический гибрид для выращивания в пленочных укрытиях. Период от всходов до плодоношения 40-43 дня. Растения сильнорослые, женского типа цветения. Вкус замечательный, огурчики сочные, без горечи.</t>
  </si>
  <si>
    <t>4601729045219</t>
  </si>
  <si>
    <t>Огурец Малосольчик F1, парт. 10шт.  (А\ц)</t>
  </si>
  <si>
    <t>Партенокарпический гибрид  По срокам созревания – раннеспелый и среднеранний. Вступает в плодоношение на 45-50 день от всходов. Формирует сильнорослые растения. Зеленцы цилиндрические, короткие – длиной 7-9 см, массой 60-80 г, мелкобугорчатые, хрустящие, очень вкусные, без горечи и пустот. Гибрид отличается высокой урожайностью – 13-16  кг/м2(в том числе ранней – 9  кг/м2).</t>
  </si>
  <si>
    <t>4601729164460</t>
  </si>
  <si>
    <t>Огурец Муравейник F1 10 шт. (А\ц) 185799540</t>
  </si>
  <si>
    <t>Новый партенокарпический гибрид женского типа цветения. Устойчивый к основным заболеваниям культуры. Куст компактный, с укороченными междоузлиями и небольшими листьями. Отдача урожая ранняя: через 40-45 дней от всходов. Растения формируют в каждом узле около 3-5 завязей. Хорошо плодоносят в горшках (на 1 растение – не менее 5 л грунта), образуя 2-3 огурчика в пучках. Зеленцы средне- и редкобугорчатые, средней массой 70-90 г. Урожайность в з/г: около 14-17 кг/м 2 .</t>
  </si>
  <si>
    <t>4601729140945</t>
  </si>
  <si>
    <t>Огурец На вилочку F1, парт. (А\ц)</t>
  </si>
  <si>
    <t>Ранний высокопродуктивный партенокарпический гибрид. От всходов до первого сбора 46-50 дней. Плоды массой 80-90 г,, длиной 8-9 см.
Урожайность -10-12 кг/м². 
Устойчив к болезням.</t>
  </si>
  <si>
    <t>4601729141508</t>
  </si>
  <si>
    <t>Огурец На закуску F1, парт. 10 шт (А\ц)</t>
  </si>
  <si>
    <t>Раннеспелый партенокарпический гибрид с букетным типом цветения. Зеленцы короткие (7-10 см), плотные, сочные и хрустящие, с белым опушением. Не горчат и не перерастают.  Урожайность высокая- 15-16 кг/м2</t>
  </si>
  <si>
    <t>4680037353629</t>
  </si>
  <si>
    <t>Огурец Настя  F1 (парт)  0,25 гр (А\ц)</t>
  </si>
  <si>
    <t>Очень ранний партенокарпический гибрид универсального грунта, самоопыляемый, отличается долгим периодом плодоношения. Зеленец крепкий, хрустящий.</t>
  </si>
  <si>
    <t>4601729193637</t>
  </si>
  <si>
    <t>Огурец Оконный шпингалет F1 ( А\ц)</t>
  </si>
  <si>
    <t>Скороспелый партенокарпический гибрид женского типа цветения, с пучковым формированием плодов. Предназначен для выращивания в домашних условиях: на подоконнике, балконе или лоджии. Отлично растет и плодоносит в открытом и защищенном грунте. Первый урожай хрустящих зеленцов можно снимать уже через 40-45 дней после появления всходов. Растение низкорослое, компактное, с небольшими листовыми пластинками и укороченными междоузлиями. Огурчики среднебугорчатые, белошипые, длиной 7-9 см, длительное время остаются мелкими и ровными. Вкус нежный, без горечи. Урожайность в теплице – 10-12 кг/м2.</t>
  </si>
  <si>
    <t>4601729166853</t>
  </si>
  <si>
    <t>Огурец Осьминожка F1 10 шт. (А\ц)</t>
  </si>
  <si>
    <t>Партенокарпический гибрид раннего срока созревания. Первый урожай сладких и вкусных огурчиков можно собирать через 40-45 дней. Для открытого грунта и пленочных укрытий. Растения сильнорослые. Женского типа цветения. В каждом узле формируется 4-6 завязей. Зеленцы длиной 10-12 см, мелкобугорчатые, не горчат. Использование универсальное. Гибрид устойчив к болезням. Урожайность в теплице 13-15 кг/м2.</t>
  </si>
  <si>
    <t>4601729142970</t>
  </si>
  <si>
    <t>Огурец Пальчики оближешь F1, парт. 0,25г  (А\ц)</t>
  </si>
  <si>
    <t>Высокоурожайный, раннеспелый, партенокарпический гибрид (41-47 дней от всходов до плодоношения), для выращивания в открытом грунте и под пленочными укрытиями. Зеленец цилиндрический, мелкобугорчатый, хрустящий, длиной 10-11 см, массой 70-80 г.</t>
  </si>
  <si>
    <t>4601729176890</t>
  </si>
  <si>
    <t>Огурец Паучок F1 (А/ц)</t>
  </si>
  <si>
    <t>Раннеспелый партенокарпический гибрид. Закладывает 2-3 завязи в каждом узле. От всходов до первого сбора зеленцов 42-45 дней. Плоды длиной 10-12 см, великолепного вкуса, не горчат. Идеальны для засолки и консервирования. Гибрид устойчив к ВОМ, настоящей мучнистой росе, корневым гнилям; среднеустойчив к ложной мучнистой росе.</t>
  </si>
  <si>
    <t>4601729139017</t>
  </si>
  <si>
    <t>Огурец Подарки с грядки (А\ц)</t>
  </si>
  <si>
    <t>Новый, высокопродуктивный партенокарпический гибрид. Рекомендуется для открытого грунта и пленочных теплиц. Раннеспелый, от всходов до начала плодоношения 42-46 дней.</t>
  </si>
  <si>
    <t>4601729139994</t>
  </si>
  <si>
    <t>Огурец Пучковое очарование F1 (А\ц)</t>
  </si>
  <si>
    <t>Раннеспелый партенокарпический гибрид с букетным типом цветения. Урожай начинают собирать на 40-43 день после всходов. В каждом узле формируется от 5 до 8 огурчиков, а при регулярных подкормках даже больше! Зеленцы выровненные, длиной 10-12 см, плотные и хрустящие, без горечи. Гибрид устойчив к настоящей и ложной мучнистой росе и корневым гнилям. Плодоносит до холодов. Урожайность 13-15 кг/м2.</t>
  </si>
  <si>
    <t>4601729140853</t>
  </si>
  <si>
    <t>Огурец Пять звезд (А\ц)</t>
  </si>
  <si>
    <t>Суперурожайный партенокарпический гибрид с букетным типом цветения. Формирует от 5 до 8 огурчиков в каждом узле, а при хорошем уходе - до 12! Первые плоды собирают на 40-42 день после всходов. Зеленцы длиной 11-13 см, сочные и хрустящие. Для консервирования и засолки. Гибрид устойчив к кладоспориозу, ВОМ, МР и ЛМР. Урожайность в теплице высокая - 16-20 кг/м2.</t>
  </si>
  <si>
    <t>4680037353636</t>
  </si>
  <si>
    <t>Огурец Санька F1 (А/ц)</t>
  </si>
  <si>
    <t>Очень ранний. Можно выращивать в домашних условиях. Отличный вкус без горечи. Самоопыляемый. Партенокарпический. Очень урожайный. Устойчив к болезням.</t>
  </si>
  <si>
    <t>4601729128967</t>
  </si>
  <si>
    <t>Огурец Соседу на радость  (А\ц)</t>
  </si>
  <si>
    <t>Скороспелый  партенокарпический  гибрид  для весенне-летнего оборота (открытый грунт, пленочные теплицы). От всходов до технической спелости первых плодов 41-43 дня. Растение индетерминантное, с короткими междоузлиями, слабоветвистое. Завязи формируются большими букетами – до 8-10 штук! Плоды корнишонного типа, короткие – длиной 7-9 см, Ø 3 см, массой 70-90 г, белошипые. Очень вкусные, без малейшей горечи. Урожайность 6-8 кг с растения.</t>
  </si>
  <si>
    <t>4601729139147</t>
  </si>
  <si>
    <t>Огурец Чудо хрустик F1  (А\ц)</t>
  </si>
  <si>
    <t>Суперпопулярный партенокарпический гибрид с букетным типом цветения. Плодоносит уже на 38-40 день после всходов. Зеленцы короткие, длиной 9-10 см, без горечи, имеют тонкую кожицу и прекрасный вкус. Одни из лучших для засолки (особенно для приготовления малосольных огурчиков) и консервирования. Урожайность - 17-18 кг/м2. Устойчив к ВОМ, МР и корневым гнилям.</t>
  </si>
  <si>
    <t>4601729141850</t>
  </si>
  <si>
    <t>Огурец Шпингалет F1, парт. 0,25г  ( А\ц)</t>
  </si>
  <si>
    <t>Суперпопулярный гибрид букетного типа цветения. Завязывает без опыления целый букет корнишонов в каждом узле. В любое лето обеспечивает сверхвысокий урожай (до 16-18 кг/м2). От всходов до первого сбора 40-42 дня. Огурчики короткие, ровные, не перерастают, с замечательным вкусом и ароматом, без горечи. Один из лучших гибридов для засола и консервирования.</t>
  </si>
  <si>
    <t>4601729193651</t>
  </si>
  <si>
    <t>Огурец Щурёнок F1 10 шт. (А\ц)</t>
  </si>
  <si>
    <t>Серия состоит из сортов и гибридов, которые получены методом классической селекции.  Среднеранний высокоурожайный партенокарпический гибрид. Рекомендуется для выращивания в пленочных теплицах и открытом грунте. Сбор плодов начинают на 50-55 день после всходов. Растения открытые, со слабым формированием побегов, хорошо проветриваются, что значительно снижает риск заболевания. Тип цветения женский, с пучковым заложением завязей (1-3 шт). Зеленцы темно-зеленые, длиной 10-13 см, массой 110-130 г. Сочные и хрустящие, с отличными вкусовыми качествами. Гибрид обладает высокой устойчивостью к кладоспориозу, настоящей мучнистой росе и вирусу огуречной мозаики.</t>
  </si>
  <si>
    <t>4601729127922</t>
  </si>
  <si>
    <t>Огурец Эстафета F1 (А/ц)</t>
  </si>
  <si>
    <t>Надежный, проверенный временем пчелоопыляемый гибрид. В пленочных укрытиях плодоносит до поздней осени. Один из немногих,которые можно выращивать круглый год в обогреваемых теплицах или зимних садах. Среднеспелый, от всходов до первого сбора в защи-щенном грунте 51-56 дней. Растения слабо- или средневетвистые, преимущественно женского типа цветения. Хорошо переносят неблагоприятные погодные условия и характеризуются повышенной теневыносливостью. Зеленцы ровные, длиной 14-22 см, массой 180-220 г. Мякоть сладкая, сочная, хрустящая, ароматная. Семена мелкие и нежные, при употреблении не ощущаются. Огурцы идеально подходят для салатов и малосольной продукции.</t>
  </si>
  <si>
    <t>4601729172786</t>
  </si>
  <si>
    <t>Огуречная трава Окрошка (А\ц)</t>
  </si>
  <si>
    <t>Однолетнее растение, сочетающее овощные и декоративные качества. Период от всходов до уборки на зелень 40-50 дней. Растения высотой до 1 м, прямостоячие, сильноветвистые, массой 90-100 г. Листья крупные, мясистые, с приятным огуречным ароматом. Урожайность зеленой массы 0,5-0,7 кг/м2. В пищу используют молодые побеги и листья в качестве приправы к овощным блюдам, при консервировании и засолке. Отлично подходит для витаминных салатов и приготовления тушеных гарниров для мяса. Свежий сок из бораго очень полезен для здоровья. Сушеные листья используют для приготовления чая и в медицине. Является отличным медоносом.</t>
  </si>
  <si>
    <t>4601729159411</t>
  </si>
  <si>
    <t>Орегано Деликатес (А\ц)</t>
  </si>
  <si>
    <t>Многолетние пряно-ароматическое растение, известное также как «душица». В открытом грунте в первый год вегетации растение вы сотой 30-40 см. Во второй высота может достигать 60-70 см. Сорт раннеспелый – период от всходов до начала цветения 60-65 дней. Свежая зелень широко используется в кулинарии. Уборку проводят во время массового цветения</t>
  </si>
  <si>
    <t>4601729139154</t>
  </si>
  <si>
    <t>Пажитник Гурман (А/ц)</t>
  </si>
  <si>
    <t>Пряно-ароматический травянистый однолетник высотой 50-65. Период от всходов до начала цветения 20-25 дней, до созревания семян 65-70 дней. Имеет лечебные свойства, популярен как пряность. Все части обладают сильным характерным запахом благодаря присутствию кумарина. Рекомендуется использовать листья и молодые побеги в свежем и сушеном виде в домашней кулинарии, для приготовления приправ. Сушеные и молотые семена входят в смеси "карри", "хмели-сунели”, их добавляют в аджику, сыры, хлебобулочные изделия, овощные блюда.</t>
  </si>
  <si>
    <t>4601729133596</t>
  </si>
  <si>
    <t>Патиссон Грошик (А\ц)</t>
  </si>
  <si>
    <t>Редчайший мелкоплодный сорт сверхраннего срока созревания. При консервировании и мариновании по вкусу намного превосходит огурцы! Первый урожай снимают уже на 35-38 день после всходов. Растения кустовые, преимущественно женского типа цветения, одновременно формируют огромное количество завязей. Плодоношение дружное и долгое. Товарные патиссончики массой 16-18 г. Прекрасно подходят для домашней кулинарии и замораживания. Урожайность –до 10 кг/м 2 .</t>
  </si>
  <si>
    <t>4601729073182</t>
  </si>
  <si>
    <t>Патиссон Созвездие, смесь  1гр. (А\ц)</t>
  </si>
  <si>
    <t>Смесь раннеспелых сортов (период от всходов до на-чала плодоношения 42-54 дня). Включает сорта: Танго –зеленого цвета, Солнышко – желтого и Диск – белого. Растения кустовые. Плоды дисковидные, выравненные, массой 0,4-0,5 кг. Поверхность гладкая, кора тонкая, мякоть белая. Плоды в молодом возрасте пригодны для цельноплодного консервирования и всех видов домашней кулинарии.</t>
  </si>
  <si>
    <t>4601729160202</t>
  </si>
  <si>
    <t>Перец Биг Герл 20шт. (А\ц)</t>
  </si>
  <si>
    <t>Скороспелый сорт. От всходов до созревания плодов 105-110 дней. В средней полосе рекомендуется для выращивания под пленочными укрытиями, в южных регионах для открытого грунта. Растения полуштамбовые, высотой 50- 60 см. Перцы крупные, сочные, массой 150-200 г. Толщина стенок 6,5-7 мм. Вкус отличный, сладкий, аромат приятный. Сорт устойчив к болезням и резким перепадам температуры. Урожайность в теплице 6,5-7 кг/м 2.</t>
  </si>
  <si>
    <t>4601729141140</t>
  </si>
  <si>
    <t>Перец Бикиньо желтый китайский (А/ц)</t>
  </si>
  <si>
    <t>Очень интересный и урожайный сорт китайского перца. Рекомендуется для выращивания в защищенном и открытом грунте. Хорошо растет в контейнерах. Срок созревания 100-120 дней. Растение быстро растет и формирует крепкие кусты высотой 60-80 см. На одном кустике вызревает более 100 красивых и ароматных перчиков массой 2-3 г. Вкус фруктовый, сладкий, слабоострый – по шкале Сковилла 500–1000 единиц. Сорт прекрасно подходит для украшения блюд, приготовления кисло-сладких маринадов и пикантных соусов, цельноплодного консервирования и сушки. Средняя урожайность с одного растения до 1 кг.</t>
  </si>
  <si>
    <t>4601729141157</t>
  </si>
  <si>
    <t>Перец Бикиньо красный китайский (А/ц)</t>
  </si>
  <si>
    <t>Очень интересный и урожайный сорт китайского перца. Рекомендуется для выращивания в защищенном и открытом грунте. Хорошо растет в контейнерах. Срок созревания 100-120 дней. Растение быстро растет и формирует крепкие кусты высотой 60-80 см. На одном кустике вызревает до 100 красивых и ароматных перчиков. Вкус фруктовый, сладкий, слабоострый – по шкале Сковилла 500–1000 единиц. Сорт прекрасно подходит для украшения блюд, приготовления кисло-сладких маринадов и пикантных соусов, цельноплодного консервирования и сушки. Средняя продуктивность одного растения до 1 кг.</t>
  </si>
  <si>
    <t>4601729144578</t>
  </si>
  <si>
    <t>Перец Братья гриль сладкий F1 (А/ц)</t>
  </si>
  <si>
    <t>Урожайный, раннеспелый гибрид для свежего употребления и домашних заготовок. Отличается стабильной завязываемостью при перепадах температуры. Спустя 110 дней после появления всходов созревают первые плоды. Перцы* среднего размера, массой 130-150 г, гладкие, с толстыми стенками (до 7 мм). Идеально подходят для запекания, приготовления на гриле и фарширования. Мякоть сочная, сладкая, ароматная. Гибрид подходит для открытого грунта. В теплице формирует урожай около 9-10 кг/м2.</t>
  </si>
  <si>
    <t>4601729182099</t>
  </si>
  <si>
    <t>Перец Задира кустарниковый (А\ц)</t>
  </si>
  <si>
    <t>Скороспелая смесь восхитительно ароматного острого перца. Плоды начинают созревать спустя 80-90 дней после появления всходов. Растения компактные, высотой всего 20-30 см. Торчащие вверх конусовидные перчики длиной 2-3 см созревают в разное время. Желтые в технической спелости, позже они становятся фиолетовыми, а достигая спелости биологической (и максимальной остроты) – окрашиваются в ярко-красный цвет. На подоконнике перец плодоносит круглый год.</t>
  </si>
  <si>
    <t>4601729185991</t>
  </si>
  <si>
    <t>Перец Итальянский гигант (А\ц)</t>
  </si>
  <si>
    <t>Крупноплодный раннеспелый гибрид. Рекомендуется для защищенного грунта и пленочных теплиц. От всходов до начала плодоношения проходит 110-120 дней. Растения полураскидистые, высотой 0,7-0,8 м. Плоды массой 200-230 г, глянцевые. Стенки толщиной 7-8 мм. В технической спелости имеют зеленую окраску, в биологической – красную. Перцы сочные, сладкие, ароматные, с высокими вкусовыми качествами. Прекрасно подходят для свежих салатов, приготовления лечо и других зимних заготовок. Гибрид устойчив к ВТМ, фузариозному увяданию и альтернариозу.</t>
  </si>
  <si>
    <t>4601729146176</t>
  </si>
  <si>
    <t>Перец Лидер-34 (А\ц)</t>
  </si>
  <si>
    <t>Раннеспелый, салатный гибрид сладкого перца для теплиц и открытого грунта. Идеально подходит для свежих салатов и домашних заготовок. Формирует полураскидистые кусты высотой 80-100 см в условиях теплицы. Плоды* созревают через 105-115 дней после появления всходов. Перцы толстостенные (6-7 мм), сочные, массой 110-140 г. В защищенном грунте урожайность гибрида до 8-10 кг/м2 .</t>
  </si>
  <si>
    <t>4601729174278</t>
  </si>
  <si>
    <t>Перец Медовый (А\ц)</t>
  </si>
  <si>
    <t>Скороспелый крупноплодный гибрид с толстой, сочной, сладкой мякотью. Эталон вкуса и кладезь летних витаминов и солнца! Подходит для выращивания в открытом и защищенном грунте. Растения полураскидистой формы, высотой в о/г до 50 см, в теплице – около 80-90 см. Период от появления всходов до сбора первых перчиков 95-100 дней. Средняя масса плода 160-180 г (первые – свыше 200 г), толщина стенки достигает 6-8 мм. Урожайность в з/г превышает 6-7 кг/м2. Гибрид используется в свежем виде и для домашних заготовок.</t>
  </si>
  <si>
    <t>4601729170799</t>
  </si>
  <si>
    <t>Перец Оранжевый лев F1 10 шт. (А\ц) 315744521</t>
  </si>
  <si>
    <t>Ценный крупноплодный гибрид с прекрасным сладким вкусом. Достоин почетного места в пленочных теплицах средней полосы, в открытом грунте южных регионов; рекомендуется также для продленного оборота в остекленных зимних теплицах. Скороспелый, от всходов до начала плодоношения около 100 дней. Растения индетерминантные, полураскидистые, высотой более 1 м. Средняя масса плодов 180-200 г, толщина стенки 6-8 мм. Урожайность высокая: под пленкой – 8,5-9 кг/м 2 , в зимних теплицах – 12-18 кг/м 2 .</t>
  </si>
  <si>
    <t>4601729181108</t>
  </si>
  <si>
    <t>Перец Ревнивец острый 10 шт. (А\ц) 312475030</t>
  </si>
  <si>
    <t>Домашние зелень и овощи — это приятное и полезное дополнение к вашему рациону. Раннеспелый карликовый острый перец. В горшечной культуре растения формируют привлекательные кустики высотой около 15 см. Плоды в процессе созревания меняют окраску от зеленой до апельсиновой. Перчинки пикантного вкуса, массой 2-3 г.</t>
  </si>
  <si>
    <t>4601729159497</t>
  </si>
  <si>
    <t>Перец Сибирский карлик (А\ц)</t>
  </si>
  <si>
    <t>Интересная новинка,заслуживающая стать фаворитом при выборе сладкого перца.Сорт скороспелый: от всходов до потребительской спелости 95-115 дней.Красивый штамбовый кустик буквально усыпан плодами. Растения высотой 35-55 см, отлично плодоносят в ограниченном объеме грунта.Могут выращиваться в теплицах (высота кустов 60-70 см) и в открытом грунте.При всех перечисленных способах, они хорошо завязывают перчики,даже при высоких дневных температурах и капризах погодных условий. Плоды средней массой 90-100 г, при хорошем уходе – до 160 г. Толщина стенки 5-6 мм. Мякоть сочная, ароматная и нежная</t>
  </si>
  <si>
    <t>4601729150807</t>
  </si>
  <si>
    <t>Перец Хабанеро красный острый (А/ц)</t>
  </si>
  <si>
    <t>Знаменитый острый перец, один из самых жгучих в мире. По упрощенной классификации жгучести относится к максимальной 10 группе (около 300.000 единиц по шкале Сковилла). Сорт раннеспелый, от всходов до первого сбора плодов 100-110 дней. В средней полосе выращивают в теплицах, где кусты вырастают до 1 м. В южных регионах – в открытом грунте (высота растений 60-70 см). Отлично растет в доме на солнечном подоконнике. Перчики длиной 3-4 см, массой 5-8 г, завязываются в большом количестве. Они используются для приготовления острых блюд, соусов и маринадов, как приправа для консервирования, подходят для сушки.</t>
  </si>
  <si>
    <t>4601729131844</t>
  </si>
  <si>
    <t>Перец Эксклюзив (А\ц)</t>
  </si>
  <si>
    <t>Очень необычная новинка. Этот гибрид перца халапеньо обладает уникальным качеством – он сладкий! Плоды его в среднем имеют длину от 5 до 9 см и массу 80 г, со стенками средней толщины. Они очень сочные, с приятной кислинкой. От всходов до технической спелости первых плодов 70-80 дней. Высота растений 0,8-1 м. Гибрид плодоносит непрерывно на протяжении всего сезона и дает большой урожай. С каждого куста можно снять от 25 до 35 плодов, по мере их роста и созревания. В основном перцы используют зелеными. Популярен халапеньо фаршированный, запеченный на гриле, маринованный и свежий. В биологической спелости плоды краснеют. Красные перцы используют для сушки</t>
  </si>
  <si>
    <t>4601729174032</t>
  </si>
  <si>
    <t>Петрушка Бабушкин огород, листовая 2г  (А\ц)</t>
  </si>
  <si>
    <t>Петрушка</t>
  </si>
  <si>
    <t>Серия сортов разных культур, которые после пересадки в горшки рекомендуются  для выращивания дома в осенне-зимний период.
В зимнее время растущая в горшке листовая петрушка сможет порадовать своей зеленью и обеспечить витаминами. Сорт характеризуется высокой урожайностью и быстрым отрастанием после срезки.</t>
  </si>
  <si>
    <t>4601729133633</t>
  </si>
  <si>
    <t>Петрушка Гусиные лапки листовая (А\ц)</t>
  </si>
  <si>
    <t>Раннеспелый сорт листовой петрушки, очень быстро отрастающий после срезки. Выборочно листья начинают убирать когда они достигнут высоты 10-15 см. К сплошной уборке приступают на 55-60 день после всходов. Розетки мощные, высотой 30-45 см, массой 100-120 г. Листья крупные, нежные, сочные и очень ароматные. Их широко используют в свежем виде для различной кулинарии, консервирования, сушки и замораживания. Осенью можно пересадить часть растений в горшок и поставить на подоконник, где они будут давать зелень еще 2-4 мес. Урожайность 3,5-4 кг/м2.</t>
  </si>
  <si>
    <t>4601729174025</t>
  </si>
  <si>
    <t>Петрушка кудрявая Французская 2 гр. (А\ц)</t>
  </si>
  <si>
    <t>Серия сортов разных культур, которые после пересадки в горшки рекомендуются  для выращивания дома в осенне-зимний период. Очень красивый сорт листовой кудрявой петрушки. Оптимально подходит для украшения блюд. Нежная зелень приятная на вкус и обладает отменным ароматом. Не требует особых условий для выращивания дома.</t>
  </si>
  <si>
    <t>4601729095177</t>
  </si>
  <si>
    <t>Петрушка Листовка, листовая 2г (А\ц)</t>
  </si>
  <si>
    <t>Новый, раннеспелый листовой сорт. Период от всходов до начала хозяйственной годности 55-60 дней. Урожайность высокая, 2,8-3,0 кг товарных листьев за сезон. Розетка полувертикальная, высотой до 25 см и диаметром 25-28 см. Масса листьев с одного растения 110-120 г. Листья нежные, с приятным вкусом и великолепным ароматом. Зелень хорошо отрастает после срезки. Срезанные листья хорошо сохраняют свежий вид в течении нескольких дней.</t>
  </si>
  <si>
    <t>4601729159428</t>
  </si>
  <si>
    <t>Петрушка Москвичка листовая  (А\ц)</t>
  </si>
  <si>
    <t>Среднеспелый сорт листовой петрушки. К массовой уборке зелени приступают через 60-70 дней. Розетка мощная и пышная, высотой до 30-40 см. Ароматные крупные листья являются не только источником полезных веществ, но и добавят игривые нотки во вкус блюда. Сорт характеризуется высокой урожайностью и быстрым отрастанием листвы после среза. Зелень долго сохраняет товарный вид. Выборочную срезку можно проводить при достижении растениями высоты 10-12 см.</t>
  </si>
  <si>
    <t>4601729115349</t>
  </si>
  <si>
    <t>Петрушка На пучок, листовая  (А\ц)</t>
  </si>
  <si>
    <t>Новый сорт с ранним сроком формирования качественной зелени. Пригоден для выращивания в открытом и защищенном грунте. От всходов до первой массовой срезки 55- 60 дней. Листовая розетка плотная, устойчивая к полеганию, высотой 35-40 см. Лист сильной ароматичности, на длинном черешке. Отличается длительной сохранностью товарных качеств свежей срезки. Урожайность зеленой массы 2,1-2,5 кг/м2.</t>
  </si>
  <si>
    <t>4601729044670</t>
  </si>
  <si>
    <t>Петрушка Настя, листовая 2г   (А\ц)</t>
  </si>
  <si>
    <t>Раннеспелый сорт, к массовой уборке приступают на 55-60 день после всходов. Розетки листьев крупные, высотой до 50 см и массой до 60 г. При хорошем уходе могут быть намного больше. Листья нежные, очень ароматные, быстро отрастают после срезки. Используются в свежем виде в качестве приправы в различные блюда, подходят для сушки и замораживания, необходимы при консервировании овощей. Урожайность высокая – 3,0-3,2 кг/м 2 .</t>
  </si>
  <si>
    <t>4601729135248</t>
  </si>
  <si>
    <t>Петрушка Первомайская листовая (А\ц)</t>
  </si>
  <si>
    <t>Популярный сорт, завоевавший сердца огородников неприхотливостью и урожайностью. Растения мощные, хорошо облиственные, устойчивые к полеганию, высотой 30-40 см и массой 100-120 г. Первый раз зелень срезают спустя 65-75 дней после появления всходов. За сезон урожай убирают несколько раз. Корневища успешно зимуют в почве и дают раннюю зелень весной. Нежные листочки с пряным, освежающим вкусом – неиссякаемый источник витамина С (в петрушке его в 4 раза больше, чем в лимонах), витамина К, кальция, калия и фосфора. Зелень сохраняет свой аромат при сушке и замораживании. Урожайность 3-4 кг/м2.</t>
  </si>
  <si>
    <t>4601729056109</t>
  </si>
  <si>
    <t>Петрушка Русское застолье,  листовая  2г (А\ц)</t>
  </si>
  <si>
    <t>Раннеспелый, холодостойкий, высокоурожайный листовой сорт. От всходов до массовой срезки зелени 55-60 дней, выборочную срезку начинают при достижении растениями высоты 10-12 см. В полном развитии розетка мощная, с большим количеством листьев. Они крупные, нежные, приятного вкуса, очень ароматные. Быстро отрастают после срезки, длительное время сохраняют хозяйственную годность и не грубеют. Корневища перезимовывают в почве и на второй год дают свежую витаминную зелень рано весной. Урожайность 3,5-4 кг/м2.</t>
  </si>
  <si>
    <t>4601729049545</t>
  </si>
  <si>
    <t>Петрушка Частушка, листовая 2г (А\ц)</t>
  </si>
  <si>
    <t>Раннеспелый (57-60 дней от всходов до технической спелости) листовой сорт.  Розетка листьев полувертикальная, высотой до 40 см, формирует более 40 гладких зеленых листьев. Масса одного растения– 40-50 г, урожайность зеленой массы– 3,5 кг/м2. Рекомендуется для употребления в свежем виде: как витаминная добавка в первые и вторые блюда, при
консервировании овощей, а также для сушки. Зелень сильно ароматичная,  быстро  отрастает  после  срезки.  Для  употребления в свежем виде листья начинают срезать,  когда они достигнут высоты 10-12 см, для сушки– во время бутонизации.</t>
  </si>
  <si>
    <t>4601729115356</t>
  </si>
  <si>
    <t>Петрушка Широколистная листовая (А\ц)</t>
  </si>
  <si>
    <t>Новый среднеспелый сорт для открытого и защищенного грунта. От всходов до технической спелости 60-80 дней. Листовая розетка полувертикальная, высокая – 60-70 см. Лист с крупными долями, на толстом черешке. Аромат интенсивный. Потребительские качества свежей продукции высокие. Темп нарастания зелени после массовой срезки быстрый. Урожайность зеленой массы 2,8-3 кг/м2.</t>
  </si>
  <si>
    <t>4601729176708</t>
  </si>
  <si>
    <t>Редис Алекс F1, 2 г (А\ц)</t>
  </si>
  <si>
    <t>Один из самых ультраскороспелых гибридов (созревание на16 день после появления всходов) для многократного высева на протяжении весенне-летнего периода. Благодаря  устойчивости  к  пониженной  освещенности можно выращивать в защищенном грунте в течение всего года. Корнеплоды устойчивы к растрескиванию и дряблению, ярко-красные, с тоненьким хвостиком, с сочной, хрустящей  белоснежной  мякотью  и  отличным  вкусом. Рекомендуется для выращивания на раннюю пучковую продукцию.</t>
  </si>
  <si>
    <t>4640012530018</t>
  </si>
  <si>
    <t>Редис Алешка F1 , 1г (А/ц)</t>
  </si>
  <si>
    <t>Один из самых скороспелых высокоурожайных гибридов. Очень устойчив к стрекованию. Используют для ранней выгонки преимущественно в открытом грунте. Корнеплод темно-красный, очень крупный, плотный, округлой или округло-плоской формы, массой 15-20г. Мякоть белая, нежная, сочная, сладкая, отличных вкусовых качеств. Компания «АЭЛИТА» является эксклюзивным продавцом семян редиса сорта «Алёшка F1»®.</t>
  </si>
  <si>
    <t>4601729172731</t>
  </si>
  <si>
    <t>Редис Алешкина любовь, 2 г (А\ц)</t>
  </si>
  <si>
    <t>Сорт скороспелый (срок созревания 18-24 дня с момента появления всходов), урожайный. Корнеплоды темно-красные, округлые, массой18-27 г. Мякоть белая и бело-розовая, плотная, нежная, сочная, слабо-острого вкуса. Корнеплод почти полностью погружен в  почву.  Урожайность 1,1-2,8 кг/м2.  Рекомендуется
для ранней выгонки в защищенном и открытом грунте.</t>
  </si>
  <si>
    <t>4601729142765</t>
  </si>
  <si>
    <t>Редис Бегунок F1 (А/ц)</t>
  </si>
  <si>
    <t>Классический раннеспелый гибрид с яркими округлыми корнеплодами слабоострого вкуса. Отличается холодостойкостью, устойчивостью к стрелкованию. Розетка листьев прямостоячая, компактная. Урожай аппетитного редиса созревает через 20 дней после появления всходов. Корнеплоды среднего размера, однородной формы, массой около 25 г. Мякоть белоснежная, плотная, сочная, хрустящая. Урожайность стабильная – 2,5 кг/м2.</t>
  </si>
  <si>
    <t>4601729172748</t>
  </si>
  <si>
    <t>Редис Всесезонный, 2 г  (А\ц)</t>
  </si>
  <si>
    <t>Раннеспелый высокоурожайный сорт редиса преднозначен для выращивания от весны до осени в открытом  и в защищенном грунте. Корнеплоды массой 20 грамм. Мякоть нежная, сочная, полна витаминов. Сорт устойчив к цветушности.</t>
  </si>
  <si>
    <t>4640012530476</t>
  </si>
  <si>
    <t>Редис Детский F1 1г (А\ц)</t>
  </si>
  <si>
    <t>Новый  ультраскороспелый высокоурожайный гибрид. Очень устойчив к стрекованию. Рекомендуется для раннего выращивания преимущественно в открытом грунте. Корнеплод темно-красный, очень крупный, плотный, округлой формы, массой 13-22г. Мякоть белая, нежная, сочная, сладкая, слабоострая, отличных вкусовых качеств. Компания «АЭЛИТА» является эксклюзивным продавцом семян редиса сорта «Детский F1»®.</t>
  </si>
  <si>
    <t>4601729144592</t>
  </si>
  <si>
    <t>Редис Диана (А\ц)</t>
  </si>
  <si>
    <t>Раннеспелый, холодостойкий сорт редиса чешской селекции от компании MoravoSeed с крупными, двухцветными корнеплодами. Формирует урожай через 30-35 дней после посева. Подходит для выращивания в открытом грунте и под пленочными укрытиями. Корнеплоды округлые или удлиненно-округлые, фиолетовые с белым кончиком. Средняя масса достигает 30-35 г. Сорт отличается высокой устойчивостью к цветушности. Найдет широкое применение в домашней кулинарии благодаря необычному цвету корнеплодов и вкуснейшей белоснежной мякоти.</t>
  </si>
  <si>
    <t>4601729172762</t>
  </si>
  <si>
    <t>Редис Кис Кис, 2 г (А\ц)</t>
  </si>
  <si>
    <t>Урожайный, раннеспелый сорт (24-27 дней от всходов до технической спелости). Корнеплод красный, круглый. Мякоть плотная, хрустящая, слабо-острая и сочная. Устойчив к дряблению. Масса корнеплода 18-20 г. Вкусовые качества отличные. Урожайность до 2,5 кг/м2. Ценность сорта: раннее и быстрое формирование корнеплодов, хорошие вкусовые качества, устойчивость к образованию пустот. Используется для получения пучковой продукции.</t>
  </si>
  <si>
    <t>4601729169625</t>
  </si>
  <si>
    <t>Редис Красавчик 2 г (А\ц)</t>
  </si>
  <si>
    <t>Один из самых ранних сортов. Подходит для открытого грунта и круглогодичного возделывания в специализированных теплицах. Неприхотливый, формирует урожай через 3 недели от всходов. Отдельные первые корнеплоды созревают через 17-19 дней. Редис красный, округлый, однородный по размеру, не растрескивается. Средняя масса 18-25 г. Мякоть хрустящая, сочная, без грубых волокон, нежная и вкусная. Сорт устойчив к цветушности.</t>
  </si>
  <si>
    <t>4601729171802</t>
  </si>
  <si>
    <t>Редис Мизинчик 2 г (А\ц)</t>
  </si>
  <si>
    <t>Раннеспелый урожайный сорт редиса, пригоден к выборочной уборке уже через 20 дней после всходов. Корнеплод удлиненно-цилиндрический, двухцветной окраски, очень привлекательный внешне. Мякоть белая, плотная, хрустящая, сочная. Вкус приятный слабоострый. Масса корнеплода 18-20 г. Сорт устойчив к цветушности.</t>
  </si>
  <si>
    <t>4601729192319</t>
  </si>
  <si>
    <t>Редис Мишутка 2 г (А\ц)</t>
  </si>
  <si>
    <t>Высокоурожайный раннеспелый сорт. Подходит для выращивания в открытом и защищенном грунте. Первый сбор урожая можно начинать через 20-25 дней после всходов. Корнеплоды круглой формы с ярко-красным окрасом, весом 10-15 г. Мякоть белоснежная, плотная, очень сочная, приятного сладковато-острого вкуса. Сорт отличается дружной отдачей урожая, высокой товарностью и выравненностью корнеплодов. Урожайность 1,2-1,5 кг/м2.</t>
  </si>
  <si>
    <t>4601729175275</t>
  </si>
  <si>
    <t>Редис Мульти трио 2 г  (А\ц)</t>
  </si>
  <si>
    <t>Смесь включает высокоурожайные сорта: Французский завтрак, Две декады, Cосулька. Корнеплоды с прекрасными вкусовыми и товарными качествами, устойчивы к прежде временному стрелкованию и дряблению.</t>
  </si>
  <si>
    <t>4601729172779</t>
  </si>
  <si>
    <t>Редис Ням Ням 2 г (А\ц)</t>
  </si>
  <si>
    <t>Скороспелый сорт (срок созревания 18-20 дней от всходов), для выращивания в течение всего сезона. Порадует красивыми, выравненными, вкусными корнеплодами. Корнеплоды розово-красные, гладкие, округлые, с тоненьким хвостиком, массой 15-25 г. Мякоть белая, хрустящая, очень нежная и сочная, слабо-острого вкуса, с повышенным содержанием витаминов. Сорт устойчив к цветушности. Урожайность – 1,1-2,6 кг/м2. Рекомендуется для выращивания во всех регионах.</t>
  </si>
  <si>
    <t>4601729167553</t>
  </si>
  <si>
    <t>Редис Пекинес (А\ц)</t>
  </si>
  <si>
    <t>Ультраранний гибрид для выращивания в условиях пониженной освещенности. Даёт отличный результат в весенне-летний период в открытом грунте, а в осенне-весенний период в обогреваемых теплицах и зимних садах. Дружно формирует урожай через 18-25 дней после посева. Корнеплоды выравненные, массой 20-25 г, с тоненьким хвостиком, долго не дряблеют. Мякоть белая, плотная, очень сочная и хрустящая, приятного слабоострого вкуса. Собранный в начале осени урожай может храниться в холодильнике больше месяца. Гибрид устойчив к цветушности. Урожайность 3-3,5 кг/м2.</t>
  </si>
  <si>
    <t>4601729171819</t>
  </si>
  <si>
    <t>Редис Ранний красный (А\ц)</t>
  </si>
  <si>
    <t>Скороспелый – формирует урожай за 3 недели от всходов. Розетка листьев небольшая, компактная. Корнеплоды темно-красные, округлые, плотные, массой 15-25 г. Мякоть белая и сочная, вкус слабоострый со сладостью, освежающий. Товарная урожайность 1,5-2 кг/м2 . Сорт устойчив к раннему стеблеванию, относительно устойчив к болезням. Пригоден для выращивания на балконе в рассадных кассетах.</t>
  </si>
  <si>
    <t>4601729176876</t>
  </si>
  <si>
    <t>Редис Ранний урожай 2 г (А\ц)</t>
  </si>
  <si>
    <t>Скороспелый, крупноплодный сорт отечественной селекции. Формирует урожай примерно за 3 недели от полных всходов. Розетка листьев компактная, слабо облиственная. Корнеплоды округлые, темно-красные, плотные, массой 25-30 г. Мякоть белая, сочная, вкус слабоострый, освежающий.</t>
  </si>
  <si>
    <t>4601729179846</t>
  </si>
  <si>
    <t>Редис Ребятки с грядки 2 гр (А/ц)</t>
  </si>
  <si>
    <t>Раннеспелый, высокоурожайный сорт. От всходов до уборки 18-25 дней. Корнеплоды выравненные, массой 20-22 г. Мякоть плотная, хрустящая, долго не дряблеет. Вкус слабоострый, без горечи. Сорт устойчив к цветушности. Рекомендуется для всех регионов.</t>
  </si>
  <si>
    <t>4601729171826</t>
  </si>
  <si>
    <t>Редис Ризенбуттер 2 г (А/ц)</t>
  </si>
  <si>
    <t>Скороспелый сорт, период от всходов до технической спелости 25 дней. Корнеплод круглый, насыщенного красного цвета, диаметром до 5 см, массой 30-40 г. Мякоть белая, нежная, сочная, очень сладкая. Сорт отличается прекрасным вкусом, устойчив к стрелкованию. Используется для ранней выгонки в защищенном и открытом грунте.</t>
  </si>
  <si>
    <t>4601729001185</t>
  </si>
  <si>
    <t>Редис Рубин 3г.(А\ц)</t>
  </si>
  <si>
    <t>Раннеспелый сорт для выращивания в открытом и защищенном грунте, созревающий за 25-30 дней. Корнеплоды редиса округлые, красные, с белой или бело-розовой сочной мякотью и слабоострым вкусом. Ценность сорта в дружном формировании урожая, а также выравненность корнеплодов. Редис Рубин рекомендуется для употребления в свежем виде и использования в различных салатах.</t>
  </si>
  <si>
    <t>4601729005626</t>
  </si>
  <si>
    <t>Редис Сакса 3г (А\ц)</t>
  </si>
  <si>
    <t>Сорт всесезонный, нетребователен к большому количеству влаги, но при долгой засухе корнеплод деревенеет. Стойкий к болезням и повреждению блошками. Форма корнеплода округло-каплевидная, цвет алый. Вкус слабо-острый, приятный. Мякоть мраморная, без пустотелости.</t>
  </si>
  <si>
    <t>4601729140716</t>
  </si>
  <si>
    <t>Редис Селеста F1 (А/ц)</t>
  </si>
  <si>
    <t>Один из самых урожайных, раннеспелых гибридов редиса с уникальной пластичностью и стрессоустойчивостью. Растение компактное, устойчиво к стрелкованию. Корнеплоды ярко-красные, круглые и гладкие, массой 20-25 г, не растрескиваются. Мякоть белоснежная, сочная, без грубых волокон. Гибрид позволяет получить свежий редис как в открытом грунте, так и в пленочных теплицах. Подходит для всесезонного выращивания на пучковую продукцию. Отлично транспортируется, сохраняя цвет и сочность корнеплодов. Устойчив к пероноспорозу</t>
  </si>
  <si>
    <t>4601729025747</t>
  </si>
  <si>
    <t>Редис Снегирек 3г (А\ц)</t>
  </si>
  <si>
    <t>Очень скороспелый сорт, дающий за короткий период полноценный урожай.  Созревает на 18 -20 день. Растение компактное, с небольшой розеткой листьев, но крупными корнеплодами, массой 20-25 г. Мякоть плотная, хрустящая, очень нежная и сочная, с повышенным содержанием эфирных масел и минеральных солей. Корнеплоды с отличной транспортабельностью и высокой товарностью. Дает прекрасные результаты при очень раннем посеве.</t>
  </si>
  <si>
    <t>4601729068614</t>
  </si>
  <si>
    <t>Редис Урожайный ранний 3г (А\ц)</t>
  </si>
  <si>
    <t>Скороспелый  неприхотливый  сорт для ранних  сборов на пучковую продукцию. Формирует урожай за 19-22 дня от всходов. Рекомендуется для выращивания в открытом и защищенном грунте. Розетки листьев раскидистые. Корнеплоды выравненные, диаметром 4-5 см, массой до 25 г, погружены в почву почти полностью. Мякоть белая и бело-розовая, плотная, сочная, хрустящая, в меру острая. Урожайность до 2,5 кг/м2. Сорт устойчив к цветушности.</t>
  </si>
  <si>
    <t>4601729144608</t>
  </si>
  <si>
    <t>Редис Фелиция (А/ц)</t>
  </si>
  <si>
    <t>Необычная новинка от чешской компании MoravoSeed для получения ранней продукции высочайшего качества. Уникальный сорт редиса с цилиндрической формой корнеплодов ярко-фиолетового цвета. Первый урожай созревает спустя 32-35 дней после посева. Корнеплоды длинные, ровные, достигают длины 13-17 см и массы 45-60 г. Отличаются интересным градиентом от белого до темно-пурпурного оттенка у основания. Быстро созревают и легко выдергиваются из почвы. Мякоть белая, сочная и хрустящая. Сорт подходит для приготовления салатов, закусок и традиционной окрошки. Идеален для карвинга.</t>
  </si>
  <si>
    <t>4601729002311</t>
  </si>
  <si>
    <t>Редис Французский завтрак 3г (А\ц)</t>
  </si>
  <si>
    <t>Популярный и любимый дачниками сорт. Скороспелый, для открытого и защищенного грунта. Привлекает безупречным внешним видом и очень дружно созревает. Красивые цилиндрические корнеплоды массой 15-20 г готовы к уборке на 20-25 день от всходов. Мякоть белая, иногда бело-розовая, хрустящая, сочная. Вкусовые качества великолепные. Урожайность при хороших условиях доходит до 3,5 кг/м 2 . А это на уровне лучших гибридов!</t>
  </si>
  <si>
    <t>4601729153181</t>
  </si>
  <si>
    <t>Редис Фунтик (А\ц)</t>
  </si>
  <si>
    <t>Раннеспелый гибрид для выращивания в открытом грунте в течение все го сезона. От полных всходов до сбора урожая 18-20 дней. Розетка листьев прямостоячая, компактная. Корнеплоды ярко-красные, округлые, однородной формы, массой 20-25 г. Мякоть не прозрачная, нежная и сочная, слабо острого вкуса. Гибрид устойчив к стрелкованию. Урожайность 1,9-2,0 кг/ м2 .</t>
  </si>
  <si>
    <t>4601729077951</t>
  </si>
  <si>
    <t>Редис Чемпион 3г (А\ц)</t>
  </si>
  <si>
    <t>Сорт раннеспелый, период от всходов до уборки 20-25 дней. Предназначен для выращивания в открытом и защищенном грунте. Урожайность высокая – 1,5-2,0 кг/м2. Корнеплоды округлые, гладкие, выравненные, массой 18-20 г. Мякоть белая, нежная, плотная, отличных вкусовых качеств. Сорт отличается ранним и дружным формированием корнеплодов, устойчивостью к дряблению и цветушности.</t>
  </si>
  <si>
    <t>4601729171840</t>
  </si>
  <si>
    <t>Редис Черри (А\ц)</t>
  </si>
  <si>
    <t>Cамый первый редис на вашем столе! Формирует урожай быстро и дружно. Сорт холодостойкий, подходит для получения сверхранней продукции в теплицах. Корнеплоды крупные, гладкие, красивой ровной окраски. Мякоть белая, нежная, сочная и хрустящая, замечательного вкуса. Сорт устойчив к цветушности и дряблению корнеплодов.</t>
  </si>
  <si>
    <t>4601729142789</t>
  </si>
  <si>
    <t>Редис Эспрессо (А\ц)</t>
  </si>
  <si>
    <t>Ультраскороспелый гибрид от немецкой компании Satimex для получения самого раннего урожая в открытом грунте и в зимней культуре в условиях обогреваемых теплиц. Дает великолепную пучковую продукцию через 15-18 дней после появления всходов. Корнеплоды красные, округлые, гладкие, однородные по форме и размеру. Средняя масса – 22-25 г.</t>
  </si>
  <si>
    <t>4601729192609</t>
  </si>
  <si>
    <t>Редька Красная панда (А\цв)</t>
  </si>
  <si>
    <t>Красная редька – вкусный и полезный овощ, который обладает мощным противовоспалительным и антимикробным действием. Сорт среднеспелый, от полных всходов до начала хозяйственной годности 70-75 дней. Корнеплод длиной 15-18 см, массой 150-200 г. Мякоть сочная, нежная, на вкус гораздо слаще черной редьки, не имеет пустот и жестких волокон. Она хороша в любых салатах, имеет очень низкую калорийность. Сорт отличается стабильной урожайностью, хорошо хранится.</t>
  </si>
  <si>
    <t>4601729104305</t>
  </si>
  <si>
    <t>Редька Малахитовая шкатулка (А\ц)</t>
  </si>
  <si>
    <t>Новый, раннеспелый, высокоурожайный сорт. Период от всходов до технической спелости 60-75 дней. Корнеплоды выравненные, гладкие, массой 250-350 г, эллиптической формы, диаметром 8-10 см. Мякоть белая, сочная, хрустящая, высоких вкусовых качеств. Рекомендуется для свежего потребления и зимнего хранения.Сорт устойчив к цветушности и растрескиванию корнеплодов. Для летнего потребления сеют рано весной, для осеннего и зимнего — в середине июля.</t>
  </si>
  <si>
    <t>4601729054525</t>
  </si>
  <si>
    <t>Репа Бабка (А\ц)</t>
  </si>
  <si>
    <t>Ранний высокоурожайный (5-6 кг/м2) сорт, от всходов до технической спелости корнеплодов 60-80 дней. Пригоден для выращивания на почвах различного механического состава. Корнеплоды плоскоокруглые, гладкие, массой до 150 г. Мякоть золотисто-желтая, твердая, сочная, сладкая, богата витаминами. Вкусовые качества отличные. Корнеплоды хорошо хранятся в осенне-зимний период. Используются для свежего потребления и кулинарной переработки. Сорт устойчив к киле крестоцветных.</t>
  </si>
  <si>
    <t>4601729047220</t>
  </si>
  <si>
    <t>Репа Внучка (А\ц)</t>
  </si>
  <si>
    <t>Раннеспелый сорт (от всходов до технической спелости - 45-50 дней), с дружным формированием урожая. Корнеплод обратнояйцевидный. Масса корнеплода -300-330 г. Кора светло-фиолетовая, нежная, гладкая. Мякоть белая, плотная, очень сочная, сладкая. Вкусовые качества отличные. Корнеплоды используются в свежем виде, для приготовления салатов, пригодны для хранения в осенне-зимний период.</t>
  </si>
  <si>
    <t>4601729054532</t>
  </si>
  <si>
    <t>Репа Дедка (А/ц)</t>
  </si>
  <si>
    <t>Раннеспелый  сорт  с  дружным  формированием  урожая,  созревает за 45-50 дней от всходов. Рекомендуется для выращивания в открытом грунте. Формирует красивые корнеплоды массой 120-250 г, с двухцветной фиолетово-белой окраской. Кора гладкая, тонкая, блестящая, мякоть сочная, сладкая, вкусная, богата витаминами и полезными минеральными солями. Урожайность 3,5-4 кг/м2.  Корнеплоды употребляют в сыром, отварном и соленом виде.</t>
  </si>
  <si>
    <t>4601729047213</t>
  </si>
  <si>
    <t>Репа Жучка  1г (А\ц)</t>
  </si>
  <si>
    <t>Раннеспелый  сорт (от  полных  всходов  до  технической спелости –  47-55 дней), с дружным формированием урожая. Рекомендуется для выращивания в открытом грунте. Корнеплоды округлые, гладкие, массой 120-140 г. Мякоть
желтая,  очень  сочная,  нежная.  Вкусовые  качества  отличные.  Используется для потребления в свежем виде и различной домашней кулинарии.  Корнеплоды хорошо транспортируются и хранятся. Урожайность 2,5-3,0 кг/м2. Для летнего потребления сеют рано весной, для осеннего и зимнего потребления— в середине июля.</t>
  </si>
  <si>
    <t>4601729164323</t>
  </si>
  <si>
    <t>Розмарин Аметист (А\ц)</t>
  </si>
  <si>
    <t>Розмарин – культура, с древних времен являющаяся символом изобилия и здоровья в доме. В нем успешно сочетаются декоративные и целебные свойства. Может использоваться в цветниках и на грядках. Растение отличается насыщенным пряным ароматом и специфическим горьковатым привкусом. Массовую срезку зелени следует начинать со 2-го года вегетации, через 62-67 дней от весеннего отрастания. Сырье можно заготовить впрок, тщательно высушив сорванные побеги. Из него заваривают лечебный чай или используют в качестве специи в кулинарии. Это одна из лучших приправ для мяса и картофеля.</t>
  </si>
  <si>
    <t>4601729095900</t>
  </si>
  <si>
    <t>Руккола (Индау) Будь здоров 0,3г (А\ц)</t>
  </si>
  <si>
    <t>Холодостойкая зеленная культура, известная как «РУККОЛА». Сорт среднеспелый, от всходов до цветения 60 дней. Зелень пригодна к употреблению через 20-25 дней от всходов и до начала цветения. Розетки диаметром 20 см, массой 20-25 г. Листья нежные, с неповторимым пикантным вкусом. Урожайность 2,0-2,2 кг/м2. Для получения зелени в непрерывном режиме семена высевают несколько раз за сезон с интервалом 10-15 дней.</t>
  </si>
  <si>
    <t>4601729108617</t>
  </si>
  <si>
    <t>Руккола (Индау) Быстро и вкусно (А\ц)</t>
  </si>
  <si>
    <t>Неприхотливый, быстро растущий, холодостойкий сорт. Формирует урожай ценной зелени за 3 недели от всходов. Розетка листьев крупная, в фазу технической спелости высотой 20-25 см, массой 18-20 г. Растения при достаточном увлажнении долго не стрелкуются и цветут поздно. Листья имеют слабый аромат и маслянисто-ореховый вкус с легкой пряной остротой. Зелень богата каротином, железом, йодом, цинком; используется в салатах и гарнирах. По вкусу руккола хорошо сочетается с сырами, мясом, рыбой. Урожайность зелени 2-2,5 кг/м2.</t>
  </si>
  <si>
    <t>4601729082689</t>
  </si>
  <si>
    <t>Руккола (Индау) быстрорастущая (А\ц)</t>
  </si>
  <si>
    <t>Руккола – неприхотливая салатная культура, отличающаяся быстрым ростом, позволяет получить урожай свежей и полезной зелени уже через 20-25 дней после появления первых всходов. Предназначена для выращивания в открытом грунте, под пленочными укрытиями, в качестве горшечной культуры на подоконнике. Молодые листья рукколы употребляют в свежем виде и добавляют в различные блюда. Пикантный освежающий вкус рукколы прекрасно сочетается с другими травами, рыбой, мясом и морепродуктами. Листья содержат много витаминов и микроэлементов. Употребление в пищу рукколы способствует выведению холестерина, стимулирует обмен веществ в организме, улучшает работу желудочно-кишечного тракта. Ешьте рукколу и будьте здоровы!</t>
  </si>
  <si>
    <t>4601729095917</t>
  </si>
  <si>
    <t>Руккола (Индау) Красотка 0,3г  (А\ц)</t>
  </si>
  <si>
    <t>Новый, раннеспелый сорт быстрорастущей зеленной культуры. Период от всходов до начала хозяйственной годности 22-27 дней. Подходит для выращивания в открытом и защищенном грунте. Урожайность высокая – 2,1-2,4 кг/м2. Розетки листьев вертикальные, 020-22 см,  массой  20-25 г. Листья крупные, рассеченные, длиной 16-20 см и шириной 5-6 см. Ткань листьев нежная, сочная, с великолепным пикантным вкусом. Используется в свежем виде в салатах, в качестве гарнира к мясным и рыбным блюдам. Сорт длительное время сохраняет высокие товарные качества и не переходит к стрелкованию.</t>
  </si>
  <si>
    <t>4601729189531</t>
  </si>
  <si>
    <t>Руккола (Индау) Крупнолистная (А\ц)</t>
  </si>
  <si>
    <t>Замечательный сорт с крупными и сочными листьями. Развивается быстро, от всходов до полного развития растений 20-25 дней. Розетки густые. Зелень очень нежная, с ярко выраженным терпким вкусом и характерным ароматом. Широко используется для приготовления салатов, сэндвичей, соусов. Сорт устойчив к ранней цветушности и способен отдавать урожай дольше других сортов. Пригоден для выращивания в открытом грунте, в теплицах как уплотняющая культура, и для выращивания в горшках на подоконнике или балконе. Рекомендуется регулярный сбор листьев.</t>
  </si>
  <si>
    <t>4601729104329</t>
  </si>
  <si>
    <t>Руккола (Индау) На Здоровье 0,3г (А\ц)</t>
  </si>
  <si>
    <t>Новый, раннеспелый сорт популярной быстрорастущей зеленной культуры. Период от всходов до начала хозяйственной годности 20-25 дней. Подходит для выращивания в открытом и защищенном грунте. Урожайность высокая – 2,0-2,2 кг/м2. Розетки листьев вертикальные, 020-24 см,  массой 20-30 г. Листья крупные, рассеченные, нежные и сочные,
с неповторимым пикантным вкусом. Используется в свежем
виде в овощных салатах, для приготовления бутербродов, прекрасно сочетается с мясными и рыбными блюдами. Сорт холодостойкий, долго сохраняет отличные товарные качества и не переходит к стрелкованию.</t>
  </si>
  <si>
    <t>4601729183805</t>
  </si>
  <si>
    <t>Руккола (Индау) Обильнолистная (А\ц)</t>
  </si>
  <si>
    <t>Быстрорастущая зеленная культура с насыщенным острым вкусом. Отличительной особенностью сорта является повышенная устойчивость к ранней цветушности и возможность многоразовой выборочной срезки. Это сокращает до минимума необходимость изнурительных повторных посевов индау (рукколы) для получения нежной зелени в течение лета. Через 3-4 недели от всходов растение образует пышную розетку крупных сочных листьев, которые нужно срывать регулярно. Сорт великолепен в овощных и теплых мясных (рыбных) салатах, придает им неповторимую нотку свежести и пикантности.</t>
  </si>
  <si>
    <t>4601729160325</t>
  </si>
  <si>
    <t>Руккола (Индау) Рококо 0,3г (А\ц)</t>
  </si>
  <si>
    <t>Высокоурожайный сорт популярной листовой культуры известной как руккола. Придает пикантную изюминку любому витаминному салату. Растет и развивается быстро, первые листья можно собирать уже через 15-20 дней после всходов. Полного развития розетки достигают за 30-35 дней. Листья нежные, крупные, с уникальным приятно-терпким вкусом.</t>
  </si>
  <si>
    <t>4601729082726</t>
  </si>
  <si>
    <t>Руккола (Индау) С Крупным листом (А\ц)</t>
  </si>
  <si>
    <t>Руккола – неприхотливая салатная культура, отличается быстрым ростом, позволяет получить урожай свежей и полезной зелени уже через 20-25 дней после появления первых всходов. Предназначена для выращивания в открытом грунте, под пленочными укрытиями, в качестве горшечной культуры на подоконнике. Молодые листья рукколы употребляют в свежем виде и добавляют в различные блюда. Пикантный освежающий вкус рукколы прекрасно сочетается с другими травами, рыбой, мясом и морепродуктами. Листья содержат много витаминов и микроэлементов.</t>
  </si>
  <si>
    <t>4601729121098</t>
  </si>
  <si>
    <t>Руккола (Индау) Худей вкусно (А\ц)</t>
  </si>
  <si>
    <t>Новый сорт с продленным сроком вегетации. Рекомендуется для использования зелёных молодых листьев в салатах и в качестве гарнира к мясным и рыбным блюдам. Сильно рассеченные, ароматные листья имеют слабо-острый горчичный вкус с заметной ореховой нотой. Собирать продукцию возможно уже с двухнедельного возраста, постепенно прореживая посевы до оптимальной густоты. Период до начала цветения длинный – 70 дней, и всё это время у вас будет свежая зелень к столу. Розетка формируется крупная и высокая, массой 25-30 г. Урожайность зеленой массы составляет около 2,5 кг/м 2 .</t>
  </si>
  <si>
    <t>4601729113178</t>
  </si>
  <si>
    <t>Руккола (Индау) Широколистная (А\ц)</t>
  </si>
  <si>
    <t>Раннеспелый, неприхотливый сорт. От всходов до выборочной срезки 14- 16 дней, до сплошной уборки 20-25 дней. Для выращивания в открытом грунте, под пленочными укрытиями и в контейнерной культуре на подоконниках и балконах. Розетка листьев высотой 20-30 см, Ø 19-27 см, массой 18-30 г. Листья нежные, сочные, с приятным пикантным вкусом. Используются в салатах, бутербродах и гарнирах.</t>
  </si>
  <si>
    <t>4601729189968</t>
  </si>
  <si>
    <t>Салат Ажурные кружева 0,1 гр. (А\ц)</t>
  </si>
  <si>
    <t>Изумительный листовой раннеспелый сорт. Относится к популярной и полезной группе красных салатов, богатых антиоксидантами. Сбор урожая начинают через 3-4 недели после всходов, постепенно срывая более крупные листья. Полного развития растения достигают на 40-45 день, и готовы к уборке целиком. Листья хрустящие, нежные, приятного вкуса, при правильной агротехнике не горчат. Используют для свежих салатов, сэндвичей и украшения блюд. Сорт устойчив к цветушности и основным болезням культуры. Срезанные растения хранятся в холодильнике до двух недель.</t>
  </si>
  <si>
    <t>4601729117862</t>
  </si>
  <si>
    <t>Салат Айсберг  (А\ц)</t>
  </si>
  <si>
    <t>Один из самых вкусных салатов с хрустящим типом листа. Известен также как «ледяной» салат, или «криспхед». За 50-60 дней от всходов формирует компактную розетку с тугим кочаном Ø 10 - 15 см и массой 200-500 г. Листья в кочане широкие, сочные, нежные; богаты витаминами, минералами и клетчаткой. Вкус нейтрально-сладковатый, хорошо сочетающийся со многими продуктами. Калорийность – всего 14 ккал на 100 г.</t>
  </si>
  <si>
    <t>4601729069987</t>
  </si>
  <si>
    <t>Салат Бэби Витаминное ассорти, смесь 0,5 г (А\ц)</t>
  </si>
  <si>
    <t>В состав смеси Бэби салат Витаминное ассорти входят 7 сортов салатных культур: салаты Адамант, Анапчанин, Дубачек МС, Мишутка, 4сезона, капуста листовая японская Мизуна и индау (руккола) Диковина. В этой смеси достигнут идеальный баланс природных витаминов, которые при регулярном употреблении помогут вам питаться правильно и со вкусом, быть в тонусе и заботиться о своем здоровье. Используются молодые, не переросшие растения в свежем виде.</t>
  </si>
  <si>
    <t>4601729160257</t>
  </si>
  <si>
    <t>Салат Бэби Леди Фит, смесь 0,5г (А\ц)</t>
  </si>
  <si>
    <t>Смесь ароматных салатных культур с интересным набором цветов и вкусов. Включает семена: горчица салатная (сарептская) Веснушка, капуста китайская Аленушка, Четыре сезона и Лебедушка, капуста японская Мизуна, салат Грация. Такое ассорти идеально для получения ранней зелени.</t>
  </si>
  <si>
    <t>4601729160264</t>
  </si>
  <si>
    <t>Салат Бэби Молодо-зелено, смесь 0,5г (А\ц)</t>
  </si>
  <si>
    <t>Смесь ароматных салатных культур с интересным набором цветов и вкусов. Включает семена: кресс водяной Подмосковный, капуста китайская Аленушка, мангольд Красный и Золотой, индау Изумрудные узоры®, салат Сорванец и Сказка®, амарант Рубино вый букет. Такое ассорти идеально для получения ранней зелени</t>
  </si>
  <si>
    <t>4601729154263</t>
  </si>
  <si>
    <t>Салат Бэби Разноцветные кружева смесь (А\ц)</t>
  </si>
  <si>
    <t>Смесь ароматных бэби салатов с интересным набором цветов и вкусов. Включает семена: горчица сарептская (салатная) – Старый лекарь, Чудеса в решете®; индау – Красотка®; капуста китайская Четыре сезона; кресс-салат – Ванька Кучерявый®; салат – Букет, Китеж®. Такое ассорти – идеально для получения ранней зелени. Растения легко выращиваются в домашних условиях и на грядках. Можно употреблять в пищу через 2 недели после всходов, когда сформируется 3-5 настоящих листьев. Молодые листочки очень нежные и отлично подходят для салатов и украшения блюд.</t>
  </si>
  <si>
    <t>4601729147838</t>
  </si>
  <si>
    <t>Салат Бэби Французская смесь (А\ц)</t>
  </si>
  <si>
    <t>Смесь ароматных салатных культур с интересным набором цветов и вкусов. Включает: индау (Eruca sativa Mil.) Будь здоров®; капуста японская (Brassica rapa L. subsp. nipposinica (L. H. Bailey) Hanelt) Мизуна; кресс-салат (Lepidium sativum L.) Обильнолистный®; салаты (Lactuca sativa L.) Неженка®, Сезон чудес®, Китеж® и Эврика; эндивий (Cichorium endivia L.) Королевский. Такое ассорти идеально для получения ранней зелени. Растения легко выращиваются в контейнерах в домашних условиях и на грядках. Их можно употреблять в пищу при формировании 3-5 настоящих листьев. Они очень нежные и отлично подходят для приготовления салатов и украшения блюд.</t>
  </si>
  <si>
    <t>4601729148637</t>
  </si>
  <si>
    <t>Салат Бэби Яркая смесь (А\ц)</t>
  </si>
  <si>
    <t>Быстрорастущая смесь с разной окраской и формой листьев. Состав: капуста японская (Brassica rapa L. subsp. nipposinica (L. H. Bailey) Hanelt) Мизуна и Русалочка; капуста китайская (Brassica chinensis L.) Четыре сезона и Краса Востока; кресс-салат (Lepidium sativum L.) Ванька Кучерявый®; горчица сарептская (салатная) (Brassica juncea (L.) Czern.) Чудеса в решете® и Красный бархат®. Такое ассорти идеально для получения ранней зелени. Растения легко выращиваются в контейнерах в домашних условиях и на грядках. Можно употреблять в пищу через 2 недели после всходов, когда сформируются 3-5 настоящих листьев. Молодые листочки очень нежные и отлично подходят для приготовления свежих салатов и украшения блюд.</t>
  </si>
  <si>
    <t>4601729033995</t>
  </si>
  <si>
    <t>Салат Вишневая дымка, листовой (А/ц)</t>
  </si>
  <si>
    <t>Среднеспелый сорт листового салата. Пригоден для кругло-годичного возделывания в защищенном грунте и в течение всего сезона – в открытом грунте. Образует крупные розетки листьев, высотой до 25 см и диаметром до 30 см. Листья хрустящие, сочные, красноватые с сильной антоциановой окраской. Масса растения до 270 г. Используется в свежем виде для салатов, бутербродов и украшения блюд. Урожайность – 2,0-2,5 кг/м2 . Сорт устойчив к цветушности, отличается быстрым ростом при любой длине дня, с великолепными вкусовыми качествами и, кроме того, очень декоративен.</t>
  </si>
  <si>
    <t>4601729104572</t>
  </si>
  <si>
    <t>Салат Гранатовый сад, листовой 0.5г (А\ц)</t>
  </si>
  <si>
    <t>Новый, высокоурожайный среднеспелый сорт. Период от всходов до начала хозяйственной годности 45-50 дней. Розетки листьев Ø 25-30 см, массой 320-370 г. Листья крупные, пузырчатые, сильноволнистые по краю, необычайно декоративные. Ткань листьев очень нежная, сочная, хрустящая, отличного вкуса, не горчит.</t>
  </si>
  <si>
    <t>4601729022319</t>
  </si>
  <si>
    <t>Салат Китеж, листовой 0.5г  (А\ц)</t>
  </si>
  <si>
    <t>Раннеспелый, урожай можно собирать через 45-50 дней после появления всходов. Образует крупные розетки листьев, с глубокими складками, интенсивного красно-рубинового цвета. Листья очень нежные, хрустящие, сочные, с повышенным содержанием йода. Пригоден для круглогодичного возделывания в открытом и защищенном грунте. Сорт устойчив к цветушности, отличается быстрым ростом при любой длине дня, с великолепными вкусовыми качествами и, кроме того, очень декоративен.</t>
  </si>
  <si>
    <t>4601729153198</t>
  </si>
  <si>
    <t>Салат Красный айсберг (А\ц)</t>
  </si>
  <si>
    <t>Потрясающий сорт айсберг салата, который очень популярен благодаря красивому виду и сочному, хрустящему вкусу. Позднего срока созревания, формирует урожай за 65-75 дней от посева. Кочаны массой до 600 г, внутри светло-зеленые, наружные листья тёмно-красные.</t>
  </si>
  <si>
    <t>4601729184772</t>
  </si>
  <si>
    <t>Салат Ледяная гора 0,3 гр. (А\ц)</t>
  </si>
  <si>
    <t>Высокопродуктивный кочанный сорт с великолепным вкусом. Относится к популярной разновидности “ледяного” салата. Позднеспелый, формирует урожай за 85-90 дней от всходов. Кочаны массой 0,6-0,8 кг, округлые, плотные. Листья маслянистые, хрустящие, сочные с повышенным содержанием микроэлементов и углеводов. Подходят для украшения и приготовления различных салатов и закусок. Сорт ценится за высокую урожайность, потрясающий освежающий вкус и устойчивость к стеблеванию.</t>
  </si>
  <si>
    <t>4601729052491</t>
  </si>
  <si>
    <t>Салат Лолло сан  0.5г (А\ц)</t>
  </si>
  <si>
    <t>Скороспелый сорт салата с хрустящими листьями, начало хозяйственной годности наступает на 30-33 день от полных всходов. Формирует крупную розетку высотой 20 см, диаметром 30 см в полном развитии, массой 300-320 г. Розетка нарастает равномерно, устойчива к стеблеванию. Лист крупный, зеленый, пузырчатый, сильно волнистый по краю, с превосходным вкусом. Сорт высокоурожайный – дает 3-4 кг зелени с 1  м2. Зелень содержит широкий набор натуральных витаминов, биологически ценных макро- и микроэлементов, полезной клетчатки.</t>
  </si>
  <si>
    <t>4601729047244</t>
  </si>
  <si>
    <t>Салат Ореховый, полукочанный  (А\ц)</t>
  </si>
  <si>
    <t>Среднеспелый полукочанный сорт. За 40-50 дней от всходов формирует розетку в виде открытого, рыхлого полукочана. Розетка высотой около 25 см, диаметром 25-30 см, массой 260-300 г. Листья гофрированные, пузырчатые, хрустящие; за счет красновато-розового края эффектно выглядят в декоре блюд. Вкус с пикантным ореховым оттенком. Сорт устойчив к преждевременному стрелкованию и серой гнили.</t>
  </si>
  <si>
    <t>4601729079658</t>
  </si>
  <si>
    <t>Салат Сезон чудес, листовой  (А\ц)</t>
  </si>
  <si>
    <t>Прекрасный скороспелый сорт листового салата, от всходов до полного развития розетки 40-50 дней. Первый выборочный сбор отдельных листьев можно проводить уже спустя 2-2,5 недели после всходов, не дожидаясь полного развития растений. Розетка крупная, высотой 25 см, диаметром 25-40 см, массой 145 г. Лист среднего размера, темно-красный, волнистый по краю, сочный, кудрявый, пузырчатый, хрустящего типа.</t>
  </si>
  <si>
    <t>4601729184673</t>
  </si>
  <si>
    <t>Салат Хрустящий айсберг  (А/ц)</t>
  </si>
  <si>
    <t>Кочанный сорт салата с хрустящими и сочными листьями. От всходов до потребительской годности (образование кочана) проходит 50-55 дней. Нежные сладковатые листья не грубеют. Они собраны в красивый рыхлый кочан, масса которого может достигать 400 г и более. Для получения полноценного кочана растению необходима хорошая агротехника (прежде всего – освещение и поливы) и обязательное соблюдение схемы посадки. Сорт универсального использования в кулинарии, обладает приятным вкусом. Он прекрасно подойдет для овощных и мясных салатов, для легких закусок с курицей, индейкой или морепродуктами.</t>
  </si>
  <si>
    <t>4601729183188</t>
  </si>
  <si>
    <t>Салат Шапка Мономаха 0,5 гр. (А\ц)</t>
  </si>
  <si>
    <t>Быстрорастущий листовой сорт с превосходным вкусом и впечатляющим внешним видом. Рекомендуется для теплиц и открытого грунта. Сбор урожая начинают на 35-40 день после всходов. В полном развитии розетки достигают 35-37 см и массы 150-160 г. Листья крупные, очень нежные, сочные, хрустящего типа, без горечи. Великолепно подходят для летних салатов, сэндвичей и декорирования блюд. Сорт холодостойкий, светолюбивый, устойчив к цветушности и болезням.</t>
  </si>
  <si>
    <t>4601729085611</t>
  </si>
  <si>
    <t>Свекла Барышня 3 г. (А\ц)</t>
  </si>
  <si>
    <t>Скороспелый сорт, сщзревание наступает на 95-100 день от полных всходов. Корнеплоды округлые, выравненные, привлекательные внешне, массой 200-350 г. Окраска мякоти темно-красная, без выраженной кольцеватости.</t>
  </si>
  <si>
    <t>4603418028329</t>
  </si>
  <si>
    <t>Свекла Бикорес (А\ц)</t>
  </si>
  <si>
    <t>Раннеспелый (80 дней от всходов до технической спелости) сорт. Розетка листьев прямостоячая. Корнеплод округлой формы, с тонкой кожицей. Мякоть нежная, красная, без колец. Масса корнеплода 160-320 г. Вкусовые качества вареных корнеплодов хорошие.</t>
  </si>
  <si>
    <t>4601729096341</t>
  </si>
  <si>
    <t>Свекла Бордо 237  3г (А/ц)</t>
  </si>
  <si>
    <t>Сорт среднеспелый, период от всходов до технической спелости 70-120 дней. Урожайность высокая, 7-8 кг/м2. Корнеплоды округлые, гладкие, массой 150-250 г, не растрескиваются. Мякоть темно-красная, без кольцеватости, нежная, сочная. Вкусовые качества отличные. Сорт жаростойкий, устойчив к болезням и цветушности, хорошо адаптируется к различным условиям выращивания. Используется для кулинарной переработки и консервирования. Корнеплоды хорошо хранятся и транспортируются.</t>
  </si>
  <si>
    <t>4601729095191</t>
  </si>
  <si>
    <t>Свекла Бордовый деликатес 3г (А\ц)</t>
  </si>
  <si>
    <t>Раннеспелый сорт. Созревание наступает на 95-105 день после всходов. Корнеплоды округлой, округло-плоской формы,  массой 180-270 г.  Мякоть  фиолетовая,  нежная, сочная,  без кольцеватости и грубых волокон.  Вкусовые качества отличные.</t>
  </si>
  <si>
    <t>4601729052361</t>
  </si>
  <si>
    <t>Свекла Бордовый шар 3г (А\ц)</t>
  </si>
  <si>
    <t>Раннеспелый сорт, период от всходов до технической спелости 80-100 дней. Корнеплоды округлые, с небольшой головкой, массой 110-350 г. Мякоть темно-бордовая, без кольцеватости, сочная и нежная на вкус.</t>
  </si>
  <si>
    <t>4601729047480</t>
  </si>
  <si>
    <t>Свекла Бычья кровь 3г (А/ц)</t>
  </si>
  <si>
    <t>Высокоурожайный среднеспелый сорт, период от всходов до массовой уборки урожая – 100-110 дней. Урожайность высокая, 4-5 кг/м2. Корнеплоды округлые, гладкие, массой 150-240 г, выравненные. Мякоть темно-красная, плотная, без кольцеватости, отличных вкусовых качеств, сочная. Рекомендуется для всех видов кулинарной переработки, консервирования, отлично подходит для зимнего хранения. Сорт холодостойкий, устойчив к цветушности и растрескиванию корнеплодов.</t>
  </si>
  <si>
    <t>4601729001291</t>
  </si>
  <si>
    <t>Свекла Египетская плоская (А/ц)</t>
  </si>
  <si>
    <t>Среднеспелым сортом. От первого всхода до сбора урожая 94-120 дней. Плоды характеризуются тем, что имеют округлую форму, плоские, темно-красного цвета, средней массой 300-500 грамм.</t>
  </si>
  <si>
    <t>4601729104428</t>
  </si>
  <si>
    <t>Свекла Катюша 3г (А\ц)</t>
  </si>
  <si>
    <t>Раннеспелый сорт. Период от всходов до уборки урожая 90-100 дней. Корнеплоды округлые, выравненные, гладкие, массой 100-250г. Мякоть карминно-красная, нежная, сочная, с повышенным содержанием сахаров. Вкусовые качества превосходные.</t>
  </si>
  <si>
    <t>4601729134029</t>
  </si>
  <si>
    <t>Свекла Кормилица кормовая (А\ц)</t>
  </si>
  <si>
    <t>Превосходный сочный корм для всех видов с/х животных и птицы. Сорт средне-поздний, урожай убирают на 120-140 день после появления всходов. Крупные, длиной 25-30 см и массой до 2 кг корнеплоды погружены в почву лишь на 1/2 и легко выдергиваются. Мякоть белая, очень питательная, богата сахарами, клетчаткой и минеральными солями. Листья содержат в 2 раза больше протеина, чем корнеплоды. Хранится отлично. Такая добавка к рациону улучшает усваиваемость кормов, укрепляет иммунитет животных и птицы, у молочных коров повышает содержание белка и жира в молоке и увеличивает надои. Урожайность 7-9 кг/м</t>
  </si>
  <si>
    <t>4601729095535</t>
  </si>
  <si>
    <t>Свекла кормовая Эккендорфская моно (А\ц)</t>
  </si>
  <si>
    <t>Ценный сорт кормовой свеклы с вегетационным периодом 108-118 дней. Стабильно формирует высокие урожаи крупных (3-5 кг) корнеплодов. Сорт односемянный, не требует прореживания; умеренно облиственный. Корнеплод цилиндрический, гладкий, средней длины и ширины, погружен в почву на 1/4-1/5 часть, легко убирается. Окраска корнеплода ниже уровня почвы желтая, выше – зеленоватая, мякоть белая, сочная. Содержание сухих веществ выше стандарта. Сорт устойчив к корнееду, церкоспорозу и цветушности. Хранится до декабря. Поедаемость животными хорошая.</t>
  </si>
  <si>
    <t>4601729118920</t>
  </si>
  <si>
    <t>Свекла Креолка (А/ц)</t>
  </si>
  <si>
    <t>Среднеспелый сорт. Период от всходов до уборки урожая 90-100 дней. Отличается выровненностью корнеплода и компактной розеткой листьев. Корнеплод округлый, темно-красный. Мякоть нежная, темно-красная, с высокими вкусовыми качествами. Масса корнеплода 200-220 г. Используется для длительного хранения и переработки.</t>
  </si>
  <si>
    <t>4601729129230</t>
  </si>
  <si>
    <t>Свекла Наоми (А/ц)</t>
  </si>
  <si>
    <t>Новый сорт с интенсивно окрашенной мякотью и высокими вкусовыми качествами корнеплодов. Раннеспелый, формирует урожай за 85-95 дней от всходов. Корнеплод округлый, гладкий, массой 200-350 г. Мякоть темно-красная, с высоким содержанием сухого вещества (до 20%), сладкая и сочная. Употреблять в пищу корнеплоды рекомендуем уже с наступлением пучковой спелости, в возрасте от 50 дней. Нежные молодые листья тоже используются для приготовления летних супов. Основной осенний урожай хорошо хранится. Урожайность 4-5 кг/м 2 .</t>
  </si>
  <si>
    <t>4601729135330</t>
  </si>
  <si>
    <t>Свекла Нобол (А/ц)</t>
  </si>
  <si>
    <t>Скороспелый, устойчивый к цветушности сорт с очень темной мякотью от фирмы Clause (Франция), одного из известнейших производителей семян. Созревает спустя 90-95 дней после появления всходов. Благодаря мощному листовому аппарату и корневой системе отлично переносит жару и засуху. Корнеплоды округлой формы, выровненные, массой 250-300 г, насыщенного темно-бордового цвета, с гладкой тонкой кожурой. Мякоть сочная, без колец, сладкая, словно сахарная, и очень нежная. Она потрясающе вкусна в салатах и придает великолепный цвет борщам. Корнеплоды отлично хранятся всю зиму. Урожайность 3,5-5 кг/м 2</t>
  </si>
  <si>
    <t>4603418007393</t>
  </si>
  <si>
    <t>Свекла Пабло F1  1г (А/ц)</t>
  </si>
  <si>
    <t>Идеальный современный гибрид. Среднеранний – 100-110 дней от полных всходов до технической спелости, с отличными показателями на любых типах почв. Корнеплод округлый, диаметром 10-15 см, с нежной, сочной мякотью бордового цвета, без колец. Масса корнеплода 110-180 г. При тепловой обработке не теряет цвет. Ценится за высокую урожайность, устойчивость к цветушности и растрескиванию корнеплодов, выравненность продукции, способность к длительному хранению.</t>
  </si>
  <si>
    <t>4601729152757</t>
  </si>
  <si>
    <t>Свекла Ронда F1 (А\ц)</t>
  </si>
  <si>
    <t>Среднеспелый (115-120 дней от всходов до технической спелости) продуктивный гибрид. Розетка листьев мощная, полупрямостоячая. 
Корнеплоды округлой формы, с гладкой нежной кожицей, темнобордового цвета, крупные, массой 250-350 г. Мякоть темно-красная, без кольцеватости, отличного вкуса</t>
  </si>
  <si>
    <t>4601729117893</t>
  </si>
  <si>
    <t>Свекла Рубиновая королева 2г (А/ц)</t>
  </si>
  <si>
    <t>Сорт раннего срока созревания (100-115 дн. от посева). Корнеплоды округлые, массой 120-160 г, округлые, с тонкой кожурой. Мякоть бордового цвета, без светлых колец,  сладкая.</t>
  </si>
  <si>
    <t>4601729072185</t>
  </si>
  <si>
    <t>Свекла Смуглянка 3г (А\ц)</t>
  </si>
  <si>
    <t>Cреднеспелый сорт (период от полных всходов до начала технической спелости 110-115 дней) со стабильной урожайностью 5-6 кг/м2 и высокой товарностью продукции – 86-93%. Корнеплоды выравненные, плоскоокруглые, гладкие, массой 240-380г. Мякоть нежная, сочная, темно-бордового цвета. Устойчивость растений к цветушности, холодостойкость, пригодность корнеплодов к консервированию, их хорошая лежкость при хранении – все эти показатели делают сорт очень популярным.</t>
  </si>
  <si>
    <t>4601729027086</t>
  </si>
  <si>
    <t>Свекла Цыганочка 3г (А/ц)</t>
  </si>
  <si>
    <t>Высокоурожайный среднеспелый сорт. Период от всходов до полной уборки 100-120 дней. Урожайность 5-6 кг/ м2. Корнеплоды округлые, гладкие, массой 150-250 г, не растрескиваются. Мякоть темно-красная, нежная, сочная, без кольцеватости и грубых волокон. Вкусовые качества отличные. Используется для кулинарной переработки и получения свежих витаминных соков. Сорт устойчив к цветушности, корнеплоды хорошо хранятся и транспортируются.</t>
  </si>
  <si>
    <t>4601729109157</t>
  </si>
  <si>
    <t>Свекла Шоколадница 3г  (А/ц)</t>
  </si>
  <si>
    <t>Высокоурожайный среднеспелый сорт. Период от всходов до технической спелости 100-110 дней. Корнеплоды округлые, выравненные, массой 110-220 г, гладкие, не растрескиваются. Мякоть темно-красная, сочная, нежная, без грубых волокон и кольцеватости. Рекомендуется для различной домашней кулинарии. Урожайность – 6-7 кг/м2. Сорт холодостойкий, устойчив к цветушности. Прекрасно хранится в зимний период.</t>
  </si>
  <si>
    <t>4601729051395</t>
  </si>
  <si>
    <t>Стевия Медовая травка 7шт. (А\ц)</t>
  </si>
  <si>
    <t>Травянистый многолетник. В средней полосе не зимует, культивируется как однолетник. Формирует куст высотой 40-60 см, до 30 см в диаметре. Растение представляет интерес для диабетиков и поклонников здорового образа жизни. Листья содержат стевиозид – подсластитель неуглеводной природы, который в 300 раз слаще сахарозы. Свежие и сушеные листья успешно заменяют сахар. Напиток с листьями стевии восстанавливает силы при физическом и нервном истощении, замедляет процесс старения.</t>
  </si>
  <si>
    <t>4601729150425</t>
  </si>
  <si>
    <t>Табак Вирджиния 202 (А\ц)</t>
  </si>
  <si>
    <t>Табак курительный</t>
  </si>
  <si>
    <t>Среднеспелый сорт курительного табака с приятным сладковатым вкусом. Вегетационный период длится 100-110 дней. Растение высотой до 2 м, с красивыми крупными листьями напоминает величественную тропическую культуру. На одном растении образуется 28-36 листьев, длиной 45-65 см и шириной до 40 см. Сорт толерантен ко многим болезням культуры. Выход сырья первого сбора более 90%.</t>
  </si>
  <si>
    <t>4601729150432</t>
  </si>
  <si>
    <t>Табак Остролист 316 (А\ц)</t>
  </si>
  <si>
    <t>Высокопродуктивный сорт курительного табака с низким содержанием никотина и отличным качеством табачного сырья. Позднеспелый – от посадки до созревания листьев последней ломки 120-140 дней. Растение высотой до 2 м, цилиндрическое. Число технически годных листьев на одном растении 30-35, длиной 25-30 см и шириной более 20 см. Сорт толерантен к комплексу заболеваний табака. Выход первого сырья более 90%.</t>
  </si>
  <si>
    <t>4601729110696</t>
  </si>
  <si>
    <t>Тимьян Ароматная грядка 0,2г (А\ц)</t>
  </si>
  <si>
    <t>Многолетнее, неприхотливое, пряно-ароматическое растение, известное также под названием «чабрец». Сорт раннеспелый, от весеннего отрастания до первого сбора зелени 35-40 дней (на второй и последующие годы). Кустики плотные, стелющиеся, высотой 25-30 см, диаметром 30-35 см, массой 35-50 г. Используется в свежем и сушеном виде как приправа в кулинарии, для ароматизации чая и в медицинских целях. Замечательный медонос, привлекает на участок пчел, полезных для опыления многих огородных культур. Урожайность 0,3-0,5 кг/м2.</t>
  </si>
  <si>
    <t>4601729110702</t>
  </si>
  <si>
    <t>Тимьян Лимончелло овощной (А\ц)</t>
  </si>
  <si>
    <t>Многолетнее, ароматное, неприхотливое растение. Сорт раннеспелый, 38-40 дней от всходов до начала сбора зелени. Кустики плотные, высотой 20-25 см, диаметром 30-35 см, массой 40-50 г. Тимьян используется в качестве пряности в кулинарии, для приготовления чая и в лечебных целях в свежем и сушеном виде. Отличный медонос. Прекрасная декоративная, садовая и горшечная культура. Урожайность зелени – 0,3-0,6 кг/м2.</t>
  </si>
  <si>
    <t>4601729084799</t>
  </si>
  <si>
    <t>Тимьян Медок овощной 0.2г  (А\ц)</t>
  </si>
  <si>
    <t>Ароматный многолетник. Неприхотливый, зимостойкий, засухоустойчивый. От всходов до начала использования 35-40 дней. Кустики стелющиеся, высотой 20-30 см, O 30-35 см, массой 35-50 г, хорошо облиственные. Урожайность – 0,3- 0,5 кг/м2. Листья и молодые побеги используются в свежем и сушеном виде как пряность в кулинарии, для ароматизации чая и в медицине.</t>
  </si>
  <si>
    <t>4601729006470</t>
  </si>
  <si>
    <t>Тмин Аппетитный 0.3г  (А\ц)</t>
  </si>
  <si>
    <t>Двулетнее пряно-ароматическое зимостойкое растение. Сорт среднеспелый, период от начала отрастания листьев до уборки на зелень во второй год вегетации 30-35 дней, до уборки на семена 60-65 дней. Урожайность зеленой массы 1,6-1,9 кг/м2, семян 110-120 г/м2.</t>
  </si>
  <si>
    <t>4601729142987</t>
  </si>
  <si>
    <t>Томат Абрикосовый (А/ц)</t>
  </si>
  <si>
    <t>Раннеспелый, индетерминантный сорт для открытого грунта и пленочных укрытий. Спустя 100 суток после появления всходов формирует необычные, опушенные плоды массой 105- 115 г.</t>
  </si>
  <si>
    <t>4601729163364</t>
  </si>
  <si>
    <t>Томат Амурские волны 20шт. (А\ц)</t>
  </si>
  <si>
    <t>Раннеспелый сорт с оригинальными и вкусными томатами. Первые плоды можно собирать через 105-110 дней. Для выращивания в открытом и защищенном грунте. Растения детерминантные, в условиях теплицы высотой 120-140 см, в открытом грунте – 70-80 см. Плоды ярко-красные с элегантным носиком и оранжевыми полосами, средней массой 90-130 г (отдельные плоды до 150 г). Томаты собраны в кисти по 5-8 шт, плотные, с отличными товарными качествами. Сорт рекомендуется для свежего потребления, консервирования и вяления. Урожайность в теплице 8-10 кг/м2.</t>
  </si>
  <si>
    <t>4601729068089</t>
  </si>
  <si>
    <t>Томат Амурский тигр 20 шт. (А\ц)</t>
  </si>
  <si>
    <t>Среднеранний, высокоурожайный сорт (108-112 дней от всходов до плодоношения). Растение индетерминантное (с неограниченным ростом). Плоды округлой формы, массой до 120 г, Вкусовые качества – отличные. На растении одновременно образуется 20-25 плодов, общей массой 1-1,2 кг.</t>
  </si>
  <si>
    <t>4601729140822</t>
  </si>
  <si>
    <t>Томат Амурский тигр розовый (А/ц)</t>
  </si>
  <si>
    <t>Раннеспелый сорт с окраской и неповторимым вкусом плодов, потрясающих воображение самого искушенного покупателя! Мясистые, сладкие томаты созревают спустя 105-110 дней после появления всходов. Первое соцветие закладывается над 8-9 листом, последующие – через 1-2 листа. В каждой кисти формируется 3-5 завязей. Плоды* крупные, многокамерные, массой 250-350 г. Первые – массой до 500 г. Растения индетерминантного типа, высотой 1,8–2 м. Сорт выгодно отличается ранним, продолжительным, обильным плодоношением. Урожайность в теплице – 9-12 кг/м2 .</t>
  </si>
  <si>
    <t>4601729144226</t>
  </si>
  <si>
    <t>Томат Банан оранжевый , 0,1г (А\ц)</t>
  </si>
  <si>
    <t>Среднеспелый высокоурожайный сорт для пленочных теплиц, вступает в плодоношение на 110 день от полных всходов. Растение индетерминантное, высотой 1,5 м. Формируется в один стебель с удалением всех пасынков. Плоды цилиндрические, гладкие, редкого янтарно-оранжевого цвета, массой 85-95 г, с прекрасным вкусом.</t>
  </si>
  <si>
    <t>4601729152580</t>
  </si>
  <si>
    <t>Томат Беркли тай дай грин (А/ц)</t>
  </si>
  <si>
    <t>Новый томат в коллекцию от знаменитого американского селекционера Бреда Гейтца. Среднеспелый – от всходов до начала сбора плодов 110-120 дней. Растение индетерминатное, в теплице высотой 1,8-2,0 м. Плоды плоскоокруглые, массой 160-250 г (отдельные могут быть до 350 г). Вкус у томата очень насыщенный, пряно-сладкий.</t>
  </si>
  <si>
    <t>4601729163388</t>
  </si>
  <si>
    <t>Томат Блэк Бьюти (А\ц)</t>
  </si>
  <si>
    <t>Отлично подходит для теплиц, индетерминантные кусты достигают высоты 2-х (и более) метров и позволяют получить свыше 15-16 кг/м2 ароматных, сладких плодов. Первый урожай созревает через 112-115 дней после всходов. В период налива помидоров их оттенок меняется от темно-фиолетового с зелеными вкраплениями до черно-красного в потребительской спелости. Средняя масса плодов 180-220 г, вес максимально крупных – до 500 г. Эффектная окраска и великолепный вкус продукции не оставят равнодушным ни одного гурмана.</t>
  </si>
  <si>
    <t>4601729058981</t>
  </si>
  <si>
    <t>Томат Богата хата F1 0,2г (А/ц)</t>
  </si>
  <si>
    <t>Высокоурожайный, засухоустойчивый среднеспелый сорт для открытого грунта. Период от всходов до начала плодоношения 110-115 дней. Растения детерминантные, полураскидистые, высотой 60-80 см. Плоды цилиндрические, выравненные, плотные, яркоокрашенные, массой 80-90 г, устойчивые к растрескиванию. Вкусовые качества превосходные, томаты сочные, сладкие, ароматные.</t>
  </si>
  <si>
    <t>4601729134401</t>
  </si>
  <si>
    <t>Томат Верность (А\ц)</t>
  </si>
  <si>
    <t>Раннеспелый гибрид для открытого грунта и пленочных укрытий. Плодоношение наступает на 100-103 день после появления всходов. Растение детерминантное, высотой 120-130 см, с обильным и продолжительным плодоношением, не требует пасынкования. Плоды округлые, без зеленого пятна у плодоножки, массой 200-210 г, на редкость вкусные и очень плотные</t>
  </si>
  <si>
    <t>4601729146640</t>
  </si>
  <si>
    <t>Томат Веселые ребята (А\ц) 286008557</t>
  </si>
  <si>
    <t>Среднеспелый урожайный гибрид для защищенного грунта. Формирует урожай через 105-115 дней. Растение индетерминантное, в теплице высотой более 2 м. Плоды плотные, средней массой 100-120 г, собраны в кисти, хорошо хранятся и транспортируются.</t>
  </si>
  <si>
    <t>4601729104633</t>
  </si>
  <si>
    <t>Томат Вкус детства (А\ц)</t>
  </si>
  <si>
    <t>Среднеспелый, для открытого грунта и пленочных укрытий, вступает в плодоношение через 111-115 дней от всходов. Растения детерминантные, высотой 60-70 см. На растении формируется три-четыре кисти. Плоды округлые, без зеленого пятна у плодоножки, массой 160-200 г. Томаты плотные, мясистые, ароматные, высоких вкусовых качеств. Урожайность в теплице 9-11 кг/м2.</t>
  </si>
  <si>
    <t>4601729180873</t>
  </si>
  <si>
    <t>Томат Водопад Виктория 10 шт. (А\ц) 323482107</t>
  </si>
  <si>
    <t>Сорт раннеспелый, созревание плодов наступает на 100-110 день после полных всходов.Растение индетерминантное, среднерослое, средне облиственное. Плод яйцевидной формы, гладкий. Окраска зрелого плода ярко-оранжевая, масса плода 15-18 г. Вкусовые качества хорошие.</t>
  </si>
  <si>
    <t>4601729117480</t>
  </si>
  <si>
    <t>Томат Всегда много F1 20шт  (А/ц)</t>
  </si>
  <si>
    <t>Ультраскороспелый, детерминантный гибрид. От всходов до первого сбора 95-98 дней. Для пленочных укрытий и открытого грунта. Растения высотой 100-120 см. Плоды крупные, массой 110-150 г, с плотной сочной мякотью.</t>
  </si>
  <si>
    <t>4601729176692</t>
  </si>
  <si>
    <t>Томат Грошик 10 шт. (А\ц)</t>
  </si>
  <si>
    <t>Домашние зелень и овощи — это приятное и полезное дополнение к вашему рациону. Ультраранний сорт желтоплодного томата-черри. Красивые штамбовые растения не требуют формирования, пасынкования, подвязки. Плоды средней массой 15 г, очень сладкие, ароматные, с нежной кожицей, не вызывают аллергию. Легко и удобно выращивать этот сорт на кухонном подоконнике – свежие полезные томаты всегда под рукой!</t>
  </si>
  <si>
    <t>4640012536706</t>
  </si>
  <si>
    <t>Томат Дрова (А\ц)</t>
  </si>
  <si>
    <t>Скороспелый сорт для выращивания в небольших емкостях, на балконах или в открытом грунте. Растение высотой 30-40 см, не пасынкуется. Куст очень декоративный. Соцветие простое, с 5-6 красными цилиндрическими плодами, массой до 70-90 г. Плоды красные, малосемянные, очень вкусные.</t>
  </si>
  <si>
    <t>4601729145216</t>
  </si>
  <si>
    <t>Томат Дрова желтые 20 шт. (А\ц)</t>
  </si>
  <si>
    <t>Раннеспелый, от всходов до начала сбора плодов – 90-95 дней. Рекомендуется для выращивания в защищенном и открытом грунте. Растение детерминантное, высота в теплице – до 1,5 м, в открытом грунте 60-80 см. Масса плода – 70-90 г, при хорошем уходе до 120 г</t>
  </si>
  <si>
    <t>4601729078422</t>
  </si>
  <si>
    <t>Томат Дубрава (А\ц)</t>
  </si>
  <si>
    <t>Скороспелый сорт для открытого грунта. Созревание плодов дружное. Растение детерминантного типа, не штамбовое, компактное, среднеоблиственное высотой 40-60 см. Плод округлый гладкий красный массой 60-110 г. Устойчивость к фитофторозу повышенная.</t>
  </si>
  <si>
    <t>4601729125065</t>
  </si>
  <si>
    <t>Томат Засолочное Чудо 0.1 гр. (А/ц)</t>
  </si>
  <si>
    <t>Скороспелый супердетерминантный гибрид для открытого грунта. Урожай отдает до начала вспышки фитофтороза. Вступает в плодоношение через 90 дней от всходов, формирует урожай быстро, плодоносит дружно. Растения компактные, низкорослые (60 см), пасынкования не требуют. На главном побеге образуется 3 кисти, первая закладывается после 4-5 листа, последующие – через лист или без разделения листом. Плоды-сливки красные, вкусные, средней массой 95 г. Рекомендуется свежее потребление и цельноплодное консервирование. Гибрид пригоден также для получения ранней продукции в малогабаритных теплицах.</t>
  </si>
  <si>
    <t>4601729142994</t>
  </si>
  <si>
    <t>Томат Золото Амишей (Amish Gold) (А/ц)</t>
  </si>
  <si>
    <t>Настоящая золотая гирлянда! Гроздья желтых, словно светящихся плодов-сливок делают этот томат одним из фаворитов! Раннеспелый сорт (107-112 суток от всходов до сбора урожая) был создан селекционером Джеффом Доусоном на основе потрясающего томата Амиш паста (старинного сорта секты Амишей из США) и ультрасладкого гибрида Sungold. Растения индетерминантные, высотой 1,9-2,2 м. Помидоры медово-сладкие, с гармоничной кислинкой и богатым послевкусием, массой 35-45 г.</t>
  </si>
  <si>
    <t>4601729163418</t>
  </si>
  <si>
    <t>Томат Конфетки на ветке (А\ц)</t>
  </si>
  <si>
    <t>Раннеспелый гибрид для открытого грунта и пленочных укрытий. Период от всходов до сбора первых плодов 90-95 дней. Растение индетерминантное, в теплице высотой 1,8-2,0 м. Плоды плотные темно-розовые, массой 30-35 г, собраны в сложные кисти. Гибрид характеризуется высокими вкусовыми качествами и устойчивостью к комплексу болезней. Рекомендуется для потребления в свежем виде и цельноплодного консервирования. Урожайность в теплице высокая - 10-12 кг/м2.</t>
  </si>
  <si>
    <t>4601729175503</t>
  </si>
  <si>
    <t>Томат Конфетти красные (А\ц)</t>
  </si>
  <si>
    <t>Домашние зелень и овощи — это приятное омашние зелень и овощи — это приятное и полезное дополнение к вашему рациону. Низкорослый, компактный томат-черри. По сроку созревания очень ранний, неприхотливый в уходе. Кустики не нуждаются в формировании и пасынковании. Отличаются обильным образованием завязей. Масса томатов 13-15 г. Их сладкий вкус и характерный приятный аромат не оставят вас равнодушными.</t>
  </si>
  <si>
    <t>4601729143106</t>
  </si>
  <si>
    <t>Томат Кремлевский F1 (А/ц)</t>
  </si>
  <si>
    <t>Ультраскороспелый гибрид. Для получения сверхранней продукции в июне рекомендуется выращивать в теплицах. Возможно выращивание в открытом грунте и под пленочными укрытиями с высадкой в обычные сроки. От всходов до созревания первых плодов около 85 дней. Растения детерминантные, высотой 50-60 см. Первое соцветие закладывается над 6-7 листом, далее через лист-два. Плоды массой 100-110 г формируются в простых кистях по 5-7 шт. Характеризуются отличным для раннего томата насыщенным кисло-сладким вкусом. Достаточный уровень калийного питания смещает баланс вкуса плодов в более сладкую сторону. Томаты средней плотности, сочные, но не водянистые. Содержание сухого вещества в соке 5,4-5,5 %, общего сахара 3,0-3,4 %, витамина С 19,3-20,6 мг / %. Сорт засухоустойчивый, не усердствуйте с поливами – это может привести к ухудшению вкуса. Гибрид устойчив к вертициллезу, фузариозному увяданию, ВТМ. Ввиду раннеспелости уходит от поражения фитофторой. Урожайность около 4 кг с растения.</t>
  </si>
  <si>
    <t>4601729181139</t>
  </si>
  <si>
    <t>Томат Кроха красный 10 шт. (А\ц)</t>
  </si>
  <si>
    <t>Домашние зелень и овощи — это приятное и полезное дополнение к вашему рациону. Мини-томат с ярко-красными вкусными плодами. Высота растений не превышает 15-20 см. При хорошем уходе кустики способны продуцировать бесконечное количество сладких черри средней массой 15 г. Гибрид не требует формирования, плодоношение раннее.</t>
  </si>
  <si>
    <t>4601729181146</t>
  </si>
  <si>
    <t>Томат Кроха оранжевый 10 шт. (А\ц)</t>
  </si>
  <si>
    <t>Домашние зелень и овощи — это приятное и полезное дополнение к вашему рациону. Мини-томат с оранжевыми сладкими плодами. Кустики (высотой 15-20 см) неприхотливы в уходе и отличаются повышенным плодоношением. Средняя масса томатов 10-15 г. Они щедро наполнены каротином, не вызывают аллергию. Гибриды-черри Кроха прекрасно выглядят вместе в горшечной культуре.</t>
  </si>
  <si>
    <t>4601729143908</t>
  </si>
  <si>
    <t>Томат Легенда Тарасенко (А/ц)</t>
  </si>
  <si>
    <t>Высокопродуктивный сорт. Формирует стабильный урожай, как в теплице, так и в открытом грунте. Растения индетерминантные, высокие. Через 115 суток после появления всходов начинают созревать первые томаты* массой 90-110 г. Их число в одной кисти может достигать 20-25 штук! При оптимальной агротехнике потенциал урожайности сорта в защищенном грунте – более 18-20 кг/м2. Мясистые, плотные, сладкие плоды великолепны в засолке, собственном соку и консервировании.</t>
  </si>
  <si>
    <t>4601729185175</t>
  </si>
  <si>
    <t>Томат Мавританская зебра (А\ц)</t>
  </si>
  <si>
    <t>Среднеспелый сорт для выращивания в открытом и защищенном грунте. Растения индетерминантные, в теплице достигают высоты до 1,8-2 м. Первые томаты созревают через 110-115 дней после появления всходов. При созревании на плодах появляются полоски желтого, оранжевого и красного цвета. На срезе томаты жёлто-зелёные с красными вкраплениями, нежно-сладкие, массой 65-85 г. Хорошо хранятся после сбора урожая. Пригодны для свежих салатов, консервации и заморозки. В вяленом виде напоминает сухофрукт.</t>
  </si>
  <si>
    <t>4601729184444</t>
  </si>
  <si>
    <t>Томат Мадагаскар (А\ц)</t>
  </si>
  <si>
    <t>Классический среднеплодный томат с великолепными вкусовыми качествами. Настоящий чемпион урожайности! Рекомендован для выращивания в защищенном грунте. Высота индетерминантных растений достигает двух и более метров. Первый урожай готов к уборке спустя 100-110 дней после всходов. Завязи собраны в плотные кисти по 5-6 штук в каждой. Средняя масса плодов 100 г. Максимальный вес первых томатов достигает 120-135 г. Этот гибрид отлично подходит для домашних заготовок и засолки, мясистые плоды с толстыми стенками не растрескиваются при консервировании.</t>
  </si>
  <si>
    <t>4601729165207</t>
  </si>
  <si>
    <t>Томат Морошка 20 шт. (А/ц)</t>
  </si>
  <si>
    <t>Серия Северяне объединяет специально подобранные сорта и гибриды, которые в условиях недостаточности тепловых ресурсов и короткого периода вегетации будут радовать вас урожаем.
Штамбовый сорт томата-черри сверхраннего срока созревания для открытого грунта. Отлично плодоносит в условиях ограниченного объема почвы. Украсит садовые вазоны и контейнеры в сочетании с пряными травами, злаками, другими овощными и даже цветочными культурами. Куст детерминантный, компактный, высотой около 20-25 см. Период от появления всходов до начала созревания урожая 90-95 дней. Плоды массой 14-17 г, ароматные и сладкие, собраны в плотные, объемные кисти. Продукция подходит для свежего употребления и консервирования. Урожайность 3-4 кг/м2.</t>
  </si>
  <si>
    <t>4601729156298</t>
  </si>
  <si>
    <t>Томат Надежда F1 (А\ц)</t>
  </si>
  <si>
    <t>Раннеспелый гибрид для открытого грунта и пленочных укрытий с оптимальным сочетанием высокой урожайности, отличным качеством и лежкостью плодов. Созревает на 95-98 день после полных всходов. Растение детерминантное, высотой 100-120 см. Плоды плоско-округлые, плотные, массой 180-200 г.</t>
  </si>
  <si>
    <t>4601729149825</t>
  </si>
  <si>
    <t>Томат Неразлучные сердца F1 15шт.  (А/ц)</t>
  </si>
  <si>
    <t>Крупноплодный, суперурожайный, ультраранний гибрид. В пленочных теплицах даёт 18-19 кг/м 2 !Томаты начинают созревать уже на 90-96 день после всходов. Растения индетерминантные, высотой 1,8-2,0 м. Первое соцветие закладывают над 7-8 листом, последующие – через 3 листа. В каждой кисти формируется 7-9 плодов массой по 150-200 г. Томаты выравнены по форме и размеру, пятна у плодоножки нет. Мякоть очень нежная и вкусная, с повышенным содержанием витамина С. Плоды великолепны в салатах, отлично подходят для получения сока и приготовления соусов. Гибрид устойчив к бактериозу, фузариозу, фитофторозу и альтернариозу.</t>
  </si>
  <si>
    <t>4601729139253</t>
  </si>
  <si>
    <t>Томат Никола 20 шт. (А/ц)</t>
  </si>
  <si>
    <t>Сорт среднеспелый, универсального назначения, холодостойкий. Растение детерминантное, раскидистое, высотой до 60 см в открытом грунте, в защищенном - до 1 м. В соцветии 6-7 плодов массой 120-140 г.</t>
  </si>
  <si>
    <t>4601729144813</t>
  </si>
  <si>
    <t>Томат Носики-курносики (А/ц)</t>
  </si>
  <si>
    <t>Скороспелый, индетерминантный сорт с ярко-оранжевыми, крупными плодами.  Рекомендуется для выращивания в открытом грунте и в теплицах. Первые томаты созревают через 105-110 дней после появления всходов. Плоды  цилиндрические, с интересными носиками, плотные, массой 140-180 г. Великолепны в салатах и закусках благодаря сладкой, мясистой, ароматной мякоти. Средняя урожайность в защищенном грунте 10-12 кг/м2.</t>
  </si>
  <si>
    <t>4601729166761</t>
  </si>
  <si>
    <t>Томат Огни Енисея (А\ц)</t>
  </si>
  <si>
    <t>Серия Северяне объединяет специально подобранные сорта и гибриды, которые в условиях недостаточности тепловых ресурсов и короткого периода вегетации будут радовать вас урожаем. Скороспелый сорт с необычными полосатыми красно-оранжевыми плодами. Растения детерминантные, высотой в о/г 0,9-1,1 м. Томаты средней массой 25 г созревают через 105-110 дней после всходов. Плоды ароматные и вкусные. Собраны в пышные длинные кисти, в каждой их образуется до 12-16 штук, созревают они одновременно. Урожай используется для свежего потребления и заготовок.</t>
  </si>
  <si>
    <t>4601729185489</t>
  </si>
  <si>
    <t>Томат Огни тундры (А\ц)</t>
  </si>
  <si>
    <t>Серия Северяне объединяет специально подобранные сорта и гибриды, которые в условиях недостаточности тепловых ресурсов и короткого периода вегетации будут радовать вас урожаем.
Детерминантный гибрид томата-черри. Отличается комплексной устойчивостью к болезням культуры. В о/г формирует высокий урожай сладких алых помидорчиков массой 20-25 г. Высота растений около 100 см. От высадки рассады до наступления потребительской спелости 60-65 дней. За счет дружного созревания плоды можно собирать целыми кистями. Мини-томатики идеально подойдут для консервирования, вяления, приготовления канапе и добавления в овощные салаты.</t>
  </si>
  <si>
    <t>4601729084164</t>
  </si>
  <si>
    <t>Томат Оля 10 шт. (А/ц)</t>
  </si>
  <si>
    <t>ультраскороспелый гибрид для открытого грунта и пленочных теплиц. Период созревания от всходов до сбора урожая 90-100 дней. Растение супердетерминантное, высотой 0,9-1 м. Не требует пасынкования и формирования куста. В междоузлии формируется 3 простых кисти, по 7 плодов в каждой. Плоды массой 150-180 грамм, округлые, слаборебристые, ярко-красного цвета.</t>
  </si>
  <si>
    <t>4601729166778</t>
  </si>
  <si>
    <t>Томат Оранж Рома (А\ц) 323449251</t>
  </si>
  <si>
    <t>Серия состоит из сортов и гибридов, которые получены методом классической селекции. В ходе испытаний, этот гибрид показал отличные результаты и превзошел многих конкурентов. Собирать плоды начинают через 70-75 дней после высадки рассады. Рекомендуется для выращивания в теплицах. Растения индетерминантные, высотой около 2 м. Томаты массой 130-150 г, плотные, прекрасного качества, собраны в кисти по 7-10 шт. Вкус отличный. Для свежих салатов, вяления и консервирования. Плоды гипоаллергенные, поэтому подходят для употребления даже тем людям, кому красные томаты противопоказаны.</t>
  </si>
  <si>
    <t>4601729142482</t>
  </si>
  <si>
    <t>Томат Перцевидный гигант  (А\ц)</t>
  </si>
  <si>
    <t>Среднеспелый сорт, вступает в плодоношение на 111-115 день от полных всходов. Тип роста индетерминантный. Требует подвязки и формирования растений. Плоды массой 150-200 г, гладкие, плотные, мясистые.</t>
  </si>
  <si>
    <t>4601729140747</t>
  </si>
  <si>
    <t>Томат Перцевидный оранжевый 0,1г (А/ц)</t>
  </si>
  <si>
    <t>Высокоурожайный среднеспелый сорт. Растения индетерминантные, высотой 1,6-1,8 м. Плоды массой 140-160 г (отдельные до 300 г). Вкус отличный, томаты сладкие и сочные. Рассада хорошо переносит недостаточную освещенность.</t>
  </si>
  <si>
    <t>4601729143014</t>
  </si>
  <si>
    <t>Томат Перцевидный полосатый 20 шт. (А/ц)</t>
  </si>
  <si>
    <t>Высокопродуктивный сорт индетерминантного томата с интересной окраской и отменным вкусом плодов. В защищенном грунте формирует щедрый урожай спустя 110-115 суток после появления всходов. Первое соцветие закладывается над 8-9 листом, последующие – через 2 листа. В каждой кисти образуется около 10 завязей. Плоды* оранжево-красные, полосатые, двухкамерные, плотные, средней массой – 120 г, длиной 10-12 см. При нормировании числа завязей можно получить более крупные томаты. Мякоть красная, мясистая, сладкая. Сорт отличается устойчивостью к ВТМ, фузариозному увяданию листьев, мучнистой росе. Толерантен к фитофторозу. При хорошем уходе урожайность достигает 14-16 кг/м2.
*Форма плодов может меняться в зависимости от условий.</t>
  </si>
  <si>
    <t>4601729150258</t>
  </si>
  <si>
    <t>Томат Перцовка (А\ц)</t>
  </si>
  <si>
    <t>Раннеспелый детерминантный сорт с красивыми и вкусными плодами. Подходит для открытого и защищенного грунта. Первый урожай созревает через 105-110 дней после появления всходов. Плоды массой 70-80 г, плотные, мясистые, отличного вкуса. Отдельные томаты имеют носик. Используются для салатов, заготовок и переработки. Урожайность в теплице 8-10 кг/м2.</t>
  </si>
  <si>
    <t>4601729104671</t>
  </si>
  <si>
    <t>Томат Полным-полно 0,2г (А/ц)</t>
  </si>
  <si>
    <t>Штамбовый индетерминантный сорт с высокой урожайностью. Растения высотой 120-150 см. Кисти простые с 5-7 плодами; первая закладывается над 6-7 листом, последующие - через 2 листа. Созревание плодов начинается через 116-120 дней после всходов. Плоды округлые, плотные, средней массой 90-100 г. Вкусовые качества высокие. Урожайность в теплице 11-13 кг/м2.</t>
  </si>
  <si>
    <t>4601729189975</t>
  </si>
  <si>
    <t>Томат Похвала Марины 20 шт. (А\ц)</t>
  </si>
  <si>
    <t>Авторский сорт с уникальной формой и двухцветной окраской плодов от селекционера Джейсона Хейнса (Jason Haynes) США. Второй вариант названия – ”Гордость Марины”. Среднеспелый, от всходов до начала уборки 111-115 дней. Индетерминантный, высота растений в теплице 1,7-2 м. Плоды массой 100-150 г (некоторые до 200 г), сочные, с нежной мякотью. Вкус сладкий, с небольшой кислинкой и фруктовыми оттенками. Они хороши в салатах, сэндвичах, подходят для переработки и консервирования. На стадии рассады листья могут быть с белыми пятнами и штрихами. Собранные плоды хорошо хранятся продолжительное время. Урожайность 12-14 кг/м2.</t>
  </si>
  <si>
    <t>4601729151132</t>
  </si>
  <si>
    <t>Томат Праздник живота 0,2г (А/ц)</t>
  </si>
  <si>
    <t>Скороспелый низкорослый сорт для открытого грунта. Растения детерминантные, высотой 55-65 см. Период от появления всходов до созревания 105-110 дней. Томаты массой 120-140 г, многокамерные, мясистые, средней плотности. Мякоть насыщенно-алая, нежная, гармоничного соотношения сладости и кислинки. Плоды идеально подходят для свежего потребления и запекания на гриле. Сорт отдает урожай до распространения фитофтороза. Урожайность составляет 7-9 кг/м2.</t>
  </si>
  <si>
    <t>4601729154508</t>
  </si>
  <si>
    <t>Томат Примадонна F1 10 шт. (А\ц)</t>
  </si>
  <si>
    <t>Ранний гибрид (созревание через 90-95 дней), рекомендуется для открытого грунта и пленочных теплиц. Растение детерминантное, высотой 120-130 см. Плоды крупные, идеально округлой формы, гладкие, плотные, без зеленого пятна у плодоножки, массой 150-200 г.</t>
  </si>
  <si>
    <t>4601729143922</t>
  </si>
  <si>
    <t>Томат Принц Боргезе (А\ц)</t>
  </si>
  <si>
    <t>Сорт среднеспелый  (120-130 дн. от всх.).  Предназначен  для выращивания в пленочных и остекленных теплицах. Растение  индетерминантное, высотой до 2-х и более метров,  хорошо облиственное. Первое соцветие - над 8-9-м листом, кисть сложная, содержит 13-17 томатов, массой 20-25 г.</t>
  </si>
  <si>
    <t>4601729140013</t>
  </si>
  <si>
    <t>Томат Пузата хата 20 шт. (А\ц)</t>
  </si>
  <si>
    <t>Раннеспелый (87-92 дня от всходов до созревания плодов), высокоурожайный сорт с продолжительным периодом плодоношения, для открытого грунта и пленочных укрытий. Плоды широкогрушевидные, ребристые, мясистые, очень вкусные, массой до 300 г.</t>
  </si>
  <si>
    <t>4601729186059</t>
  </si>
  <si>
    <t>Томат Рома 20 шт. (А/ц)</t>
  </si>
  <si>
    <t>Универсальный, высокоурожайный среднеспелый сорт с растянутым периодом плодоношения. Для выращивания в открытом грунте и под пленочными укрытиями. Период от всходов до первого сбора плодов – 105-125 дней. Растения детерминантные, высотой 35-60 см. Плоды сливовидные, плотные, очень мясистые, массой 60-80 г.</t>
  </si>
  <si>
    <t>4601729140020</t>
  </si>
  <si>
    <t>Томат Санька 20 шт. (А\ц)*</t>
  </si>
  <si>
    <t>Сорт ультраранний (от всходов до созревания 75-85 дней). Сорт детерминантный, высотой 30-40 см. Плоды слаборебристые, ярко-красные, плотные, очень вкусные, мясистые, массой 80-100 г.</t>
  </si>
  <si>
    <t>4601729159558</t>
  </si>
  <si>
    <t>Томат Сахарная семейка (А\ц)</t>
  </si>
  <si>
    <t>Скороспелый гибрид томата-черри. Отличается высокой завязываемостью плодов при повышенных температурах и дружностью плодоношения. Первыми вкусными томатами уже можно полакомиться через 75-80 дней. Рекомендуется для защищенного и открытого грунта. Растения индетерминантные, с укороченными междоузлиями, высотой в теплице 1,8-2,0 м. Плоды округлые, очень плотные, устойчивы к растрескиванию и осыпанию, массой 25-30 г. Пригодны для потребления в свежем виде, консервирования и заморозки. Урожайность в теплице 13-15 кг/м2.</t>
  </si>
  <si>
    <t>4601729154195</t>
  </si>
  <si>
    <t>Томат Сердце Алтая (А/ц)</t>
  </si>
  <si>
    <t>Сахаристый и вкусный, как арбуз! Сорт-трудяга: индетерминантные растения высотой 180-200 см буквально увешаны крупными, массой 200-300 г помидорами. Первые плоды (при нормировании числа завязей в кисти) бывают и крупнее, до 1 кг и более. Растениям нужны очень надежные опоры! Урожай убирают, начиная с 111-115 дня от всходов. Розовые, многокамерные, сочные томаты хороши для приготовления густых соков и соусов, а в качестве салатных томатов станут вашими фаворитами! Сорт очень урожайный – в з/г до 6-7 кг с растения.</t>
  </si>
  <si>
    <t>4601729152665</t>
  </si>
  <si>
    <t>Томат Сибирский тигр розовый (А\ц)</t>
  </si>
  <si>
    <t>Среднеспелый – от всходов до сбора первых плодов 110-120 дней. Индетерминантный, высотой в теплице 1,6-1,8 м. Плоды плоскоокруглые массой 150-200 г, при полном созревании малиновые с темно-фиолетовыми плечиками.</t>
  </si>
  <si>
    <t>4601729187506</t>
  </si>
  <si>
    <t>Томат Союз-8 F1 10 шт. (А/ц)</t>
  </si>
  <si>
    <t>Раннеспелый, от всходов до технической спелости 104-105 дней. Растение детерминантное, компактное, среднеоблиственное. Масса плода 120 г.</t>
  </si>
  <si>
    <t>4601729140471</t>
  </si>
  <si>
    <t>Томат Сто пудов 0,1г (А/ц) 182029611</t>
  </si>
  <si>
    <t>Один из самых вкусных томатов. Предназначен для пленочных укрытий в средней полосе и открытого грунта в южных регионах. Среднеспелый, вступает в плодоношение через 110-115 дней от всходов. Растения индетерминантные, высотой 1,7-2 м. Плоды крупные – массой 170-250 г (до 350 г), без зеленого пятна у плодоножки, мясистые и ароматные. Ценятся за деликатесный вкус. Хороши для салатов, сока, консервирования дольками. Урожайность 8,5-9,0 кг/м2.</t>
  </si>
  <si>
    <t>4601729140037</t>
  </si>
  <si>
    <t>Томат Столыпин 0,1г (А/ц)</t>
  </si>
  <si>
    <t>Раннеспелый, холодостойкий, детерминантный сорт для открытого грунта. Созревает на 95-105 день от появления всходов. Плоды массой 90-120 г, на редкость вкусные, очень плотные, не растрескиваются.</t>
  </si>
  <si>
    <t>4610358530522</t>
  </si>
  <si>
    <t>Томат Суперсемейка F1 (А\ц)</t>
  </si>
  <si>
    <t>Раннеспелый гибрид для выращивания в открытом грунте и под пленочными укрытиями. Период от появления всходов до начала плодоношения составляет 105-110 дней. Растения высотой 1,7-1,8 м. Плоды ароматные, сладкие, массой 15-20 г, овальной формы. Созревают практически одновременно, что упроготовления различных блюд. Мякоть сочная, сладкая. Гибрид отличается великолепными вкусовыми качествами.</t>
  </si>
  <si>
    <t>4601729144318</t>
  </si>
  <si>
    <t>Томат Суперстейк F1, 0.05г (А\ц)</t>
  </si>
  <si>
    <t>Среднеспелый гибрид с устойчивым плодоношением в любую погоду. Для остекленных и необогреваемых пленочных укрытий. Период от всходов до сбора урожая 100-110 дней. Растение сильнорослое, 1,5-2,0 м, формирует до 8 кистей. Плоды красивые, крупные, мясистые, сладкие. Средняя масса плодов 450 г, максимальная - 900 г.</t>
  </si>
  <si>
    <t>4601729152399</t>
  </si>
  <si>
    <t>Томат Счастливый тигр (А\ц)</t>
  </si>
  <si>
    <t>Растения индетерминантные, высотой в теплице 1,7-2 м. Урожай отдают в средние сроки: через 112-115 дней после появления всходов. Плоды мясистые, плотные, с нежной кожицей, не растрескиваются. Вкус насыщенный, сладкий с тропическими нотками и гармоничной кислинкой. Масса томатов около 35-40 г.</t>
  </si>
  <si>
    <t>4601729137136</t>
  </si>
  <si>
    <t>Томат Фокус-покус (А\ц)</t>
  </si>
  <si>
    <t>Уникальный скороспелый индетерминантный сорт с опушенными плодами и листьями. Начинает плодоносить спустя 100-105 дней после появления всходов. Помидоры – пушистые, словно абрикосы, массой 100-110 г, собраны в кисти по 8-10 штук. При хорошей агротехнике отдельные плоды могут достигать 240 г. Первая кисть закладывается низко, над 6-7 листом. Сорт хорошо завязывает плоды, невзирая на капризы погоды. Устойчив к комплексу болезней, толерантен к фитофторозу. Опушенные листья не привлекательны для вредителей. Урожайность 8-10 кг/м2 .</t>
  </si>
  <si>
    <t>4601729115592</t>
  </si>
  <si>
    <t>Томат Цитрусовый микс, смесь (А\ц)</t>
  </si>
  <si>
    <t>Смесь высокоурожайных томатов с красивыми плодами характерной формы с «носиком». Включает сорта Сеньор Помидор® и Цитрусовый сад®. Оба сорта среднеспелые, вступают в плодоношение на 110-115 день от всходов. Растения индетерминантные, высокие – 2 м. В сложных кистях по 20-30 плодов массой 55-80 г. Общая масса кисти до 2,5 кг. Томаты лежкие, хорошо дозариваются. Использование универсальное.</t>
  </si>
  <si>
    <t>4601729153587</t>
  </si>
  <si>
    <t>Томат Черная королева F1 (А/ц)</t>
  </si>
  <si>
    <t>Потрясающе вкусный салатный сорт, достойный представитель «шоколадных» томатов. Растения индетерминантные (в теплице достигают высоты 180 см и более) и раннеспелые. Первый урожай снимают спустя 110-115 дней от всходов. Крупные, красивые плоды на весах «тянут» на 180-250 г, а при нормировании числа завязей в кисти вырастают еще крупнее. Сладкие, ароматные, изумительно красивые на разрезе, они придают салатам особенную сладость. К достоинствам сорта можно отнести продолжительный период отдачи урожая и отменную продуктивность: 6,5-7 кг плодов с 1 м2 теплицы.</t>
  </si>
  <si>
    <t>4601729163494</t>
  </si>
  <si>
    <t>Томат Черная красавица F1 (А/ц)</t>
  </si>
  <si>
    <t>Cреднеспелый индетерминантный сорт родом из США. Высота растений в защищенном грунте достигает 1,7-2 м. Период от всходов до получения урожая 110-113 дней. При наступлении технической спелости зеленые завязи постепенно приобретают насыщенную фиолетово-черную окраску. Употреблять помидоры начинают при появлении на этом темном фоне ярко-красных полос и боков. Масса плодов около 200-250 г, при хорошем уходе вес первых томатов превышает 450 г. Мякоть красная, мясистая, сладкая. Необычная окраска томатов внесет разнообразие в привычные овощные салаты и закуски.</t>
  </si>
  <si>
    <t>4610358530560</t>
  </si>
  <si>
    <t>Томат Черри-сахарок (А\ц)</t>
  </si>
  <si>
    <t>Новый мегаурожайный гибрид для выращивания в защищенном грунте. Первый сбор урожая начинают через 110-115 дней после всходов. Растения индетерминантные, высотой в теплице 1,8-2,0 м. Помидорчики очень ароматные, сочные и сладкие, массой 20-25 г, собраны в кисти по 12-14 шт. Отлично подойдут для приготовления свежих салатов, цельноплодного консервирования и украшения блюд. Гибрид ценится за обильный урожай и высокие вкусовые качества плодов.</t>
  </si>
  <si>
    <t>4601729146879</t>
  </si>
  <si>
    <t>Томат Черрипашки F1 (А/ц)</t>
  </si>
  <si>
    <t>Очень вкусный раннеспелый томат-черри! Завязи образуются кистями, по 10-14 штук в каждой. Плоды созревают через 108-115 дней после появления всходов. Средняя масса томата 14-16 г. Растения индетерминантные, мощные, рекомендуются для выращивания в теплицах. Интересная окраска плодов и неповторимая сладость с фруктовыми нотками позволяют использовать их как в салатах, так и для домашних заготовок. Урожайность сорта – около 7-9 кг/м2.</t>
  </si>
  <si>
    <t>4601729145032</t>
  </si>
  <si>
    <t>Томат Чудо-чудное (А/ц)</t>
  </si>
  <si>
    <t>Сорт Чудо-чудное® гарантировано обеспечит вас урожаем вкусных и сладких томатов. Рекомендуется для выращивания в открытом и защищенном грунте. Индетерминантный, в теплице высотой 1,8-2,0 м. Томат среднеспелый, от всходов до первого сбора 110-115 дней. Масса плодов 100-150 г, (отдельные 200-300 г). Как и все оранжевые томаты, сорт насыщен бета-каротином и витаминами, но при этом не вызывает аллергии. Хорошо завязывает плоды при перепадах температур. Плоды отлично хранятся и переносят транспортировку. Урожайность в теплице 8-9 кг/м2.</t>
  </si>
  <si>
    <t>4601729144356</t>
  </si>
  <si>
    <t>Томат Шоколадное чудо (А\ц)</t>
  </si>
  <si>
    <t>Среднеспелый – от всходов до сбора плодов 110- 115 суток. Рекомендуется для выращивания в защищенном и открытом грунте. Растение детерминантное, высотой в теплице 0,9-1,0 м. Томаты плотные, мясистые, массой 180-250г.</t>
  </si>
  <si>
    <t>4601729134678</t>
  </si>
  <si>
    <t>Томат Шоколадный заяц (А\ц)</t>
  </si>
  <si>
    <t>Великолепный салатный сорт томатов с уникальной окраской плодов. Раннеспелый –первый урожай собирают через 95-110 дней после всходов. Подходит для выращивания в защищенном и открытом грунте. Растения индетерминантные, высотой 1,6-1,8 м. Плоды плоскоокруглой формы, массой 300-350 г. Число камер более шести. Томаты достаточно плотные, мясистые. Обладают богатым томатным вкусом. Отлично подходят для бутербродов и для переработки на томатопродукты (кетчуп, сальса). Сорт слабовосприимчив к болезням. Урожайность до 8,5 кг/м 2 .</t>
  </si>
  <si>
    <t>4601729105050</t>
  </si>
  <si>
    <t>Томат Японский трюфель черный (А\ц)</t>
  </si>
  <si>
    <t>Среднеспелый сорт, от всходов до плодоношения 111-115 дней. 
Растения индетерминантные, высотой 1,5-2 м. Формируют на стебле 4-5 кистей по 5-6 плодов. Томаты плотные, сильно глянцевые, массой 100-150 г.</t>
  </si>
  <si>
    <t>4601729167607</t>
  </si>
  <si>
    <t>Трава для кошек Любимое лакомство (А\ц)</t>
  </si>
  <si>
    <t>Свежая молодая зелень является необходимым компонентом питания ваших питомцев, поскольку содержит большое количество клетчатки, витаминов, ряд незаменимых аминокислот и других полезных веществ. Сочная зелень злаковых культур растет быстро и дружно. С успехом может выращиваться в домашних условиях в течение всего года. Рекомендуется проводить посевы каждые 2-3 недели, чтобы у вашего питомца не было недостатка свежей зелени.</t>
  </si>
  <si>
    <t>4601729122323</t>
  </si>
  <si>
    <t>Тыква Арабатская, мускатная (А\ц)</t>
  </si>
  <si>
    <t>Один из самых сладких и крупных сортов столового назначения. Урожай собирают на 115-125 день после всходов. Плоды длиной 50-56 см, массой от 6 до 20 кг. Семенное гнездо небольшое. Мякоть интенсивно оранжевая, хрустящая, плотная и сочная, с высоким содержанием каротина и сахаров. Вкус великолепный, с сильно выраженным мускатным ароматом. Незаменимый сорт для получения диетических соков, десертов и сладких блюд.</t>
  </si>
  <si>
    <t>4601729086243</t>
  </si>
  <si>
    <t>Тыква Голосемянка твердокорая 1г (А\ц)</t>
  </si>
  <si>
    <t>Среднеспелый сорт, период от всходов до съема плодов 100-110 дней. Растения плетистые. Плоды эллиптические, гладкие, массой 4-6 кг. Семена уникальные, без кожуры, содержат все необходимые человеку витамины и микроэлементы, являются непревзойденным источником цинка. Выход семян – 1,0%. Мякоть желтая, средней толщины, плотная, хрустящая. Вкусовые качества отличные. Сорт предназначен для домашней кулинарии и получения семенной продукции. Отличается устойчивостью к пониженным температурам.</t>
  </si>
  <si>
    <t>4601729160776</t>
  </si>
  <si>
    <t>Тыква Иришка, мускатная 1г (А/ц)</t>
  </si>
  <si>
    <t>Продуктивный среднепоздний сорт, устойчивый к мучнистой росе. Растение плетистое, главная плеть длинная. Листья темно-зеленые с пятнистостью. Созревание тыквин начинается через 110-120 дней после всходов. При наступлении потребительской спелости окраска пятен на зеленой коре меняется от салатовой до светло-коричневой. Плоды массой 2-4 кг. Кора тонкая, тыква легко режется ножом. Мякоть ярко-оранжевая, сочная и ароматная, с повышенным содержанием каротина. Назначение универсальное – домашняя кулинария и переработка. После уборки продукция хранится около 7 месяцев.</t>
  </si>
  <si>
    <t>4601729190599</t>
  </si>
  <si>
    <t>Тыква Ленивая красавица, мускатная (А\ц)</t>
  </si>
  <si>
    <t>Очень красивый и самый вкусный гибрид мускатной тыквы. От появления всходов до первого сбора урожая проходит 95-110 дней. Растения длиноплетистые, за сезон плети могут вырасти до 3 м. Поэтому их можно использовать в качестве декоративного украшения арок и пергол. Плоды порционные, сегментированные, диаметром 10-12 см, массой 0,6-0,9 кг. Мякоть плотная, сочная, очень сладкая, с легким мускатным ароматом и нежным вкусом. Тыковки прекрасно подходят для запекания, приготовления сока и десертов. Гибрид ценится за устойчивость к заболеваниям и длительное хранение.</t>
  </si>
  <si>
    <t>4601729104138</t>
  </si>
  <si>
    <t>Тыква Мандаринка, твердокорая 1г (А\ц)</t>
  </si>
  <si>
    <t>Очаровательная миниатюрная тыква, используемая для употребления в пищу и для украшения интерьера. Сорт раннеспелый, от всходов до уборки 95-100 дней. Растения плетистые, формируют 8-10 плодов. Прекрасно смотрятся при выращивании на шпалерах, заборах и решетках. Тыквины плоскоокруглые, сегментированные, высотой 3-4 см и O7-10 см. Мякоть плотная, сочная. Вкусовые качества отличные. Подходит для запекания целиком и для различной кулинарной переработки. Плоды хорошо транспортируются и хранятся продолжительное время.</t>
  </si>
  <si>
    <t>4601729169786</t>
  </si>
  <si>
    <t>Тыква Оранжерейка мускатная 5 шт. (А\ц)</t>
  </si>
  <si>
    <t>Порционный гибрид тыквы с великолепными декоративными качествами. Среднеплетистые растения образуют большое количество плодов массой около 250-300 г. Созревание урожая начинается через 90-100 дней от всходов. Мини-тыквы очень удобно использовать в кулинарии в качестве горшочков для запекания, благодаря эффектной прочной кожуре и вкуснейшей оранжевой мякоти. Продукция хорошо хранится. Гибрид можно высадить на участке вокруг беседок и пергол, закрепив увесистые плети с плодами.</t>
  </si>
  <si>
    <t>4601729118944</t>
  </si>
  <si>
    <t>Тыква Розовая торпеда, крупноплодная (А/ц)</t>
  </si>
  <si>
    <t>Высокоурожайный среднеспелый сорт с большими и длинными плодами. Убирают урожай на 100-105 день после всходов. На каждом растении завязывается в среднем 5 плодов. Тыквы вырастают длиной до 120 см и массой до 15 кг. Мякоть оранжевая, толстая, нежная, без волокон, очень сладкая и ароматная. Семена легко удаляются. Сорт достаточно выносливый, устойчив к неблагоприятным погодным условиям. Прекрасно хранится всю зиму.</t>
  </si>
  <si>
    <t>4601729152405</t>
  </si>
  <si>
    <t>Тыква Теремок (А/ц)</t>
  </si>
  <si>
    <t>Среднеспелый, урожайный сорт столового назначения. Период от появления всходов до созревания тыквин 110-113 дней. Растение с короткими плетями, крепкое, компактное. Плоды высокого качества, массой 6-8 кг, с гладкой, упругой, серой корой. Мякоть ярко-желтая, средней плотности, толщиной 5-6 см. Сорт отличается высоким содержанием сахаров, сухого вещества и каротина. Подходит для длительного хранения, домашней кулинарии и переработки.</t>
  </si>
  <si>
    <t>4601729159534</t>
  </si>
  <si>
    <t>Тыква Учики кури (А/ц)</t>
  </si>
  <si>
    <t>Одна из самых вкусных тыкв в мире! Отличается грушевидной формой порционного плода и оранжевой, ароматной и сладкой мякотью. Сорт среднеранний, период от всходов до сбора урожая 90-100 дней. Характеризуется интенсивным формированием завязей вплоть до наступления заморозков и толерантностью к комплексу заболеваний культуры. Средняя масса тыквины 1-1,5 кг (до 3 кг). Плоды хранятся до весны. Их удобно применять как горшочек для запекания или для супа-пюре. Хрустящая мякоть может использоваться, как морковь, в свежих салатах. А также она очень вкусна для приготовления на гриле.</t>
  </si>
  <si>
    <t>4601729169779</t>
  </si>
  <si>
    <t>Тыква Цукарелло мускатная 1г (А\ц)</t>
  </si>
  <si>
    <t>Вкусная и очень сладкая мускатная тыква. Отлично подходит для приготовления полезного десерта – цукатов. Сорт среднеспелый, от всходов до сбора урожая проходит 110-120 дней. Плоды средней массой 3-4 кг, с тонкой кожицей. Мякоть плотная и сочная, с легким мускатным ароматом. Рекомендуется для всех видов кулинарии и для добавления в свежем виде в салаты. Плоды отлично хранятся около 3 месяцев после съема. Урожайность высокая.</t>
  </si>
  <si>
    <t>4601729131677</t>
  </si>
  <si>
    <t>Тыква Шахерезада (А/ц)</t>
  </si>
  <si>
    <t>Высокоурожайный сорт с крупными и очень вкусными плодами. По срокам созревания позднеспелый, от всходов до уборки 125-135 дней. Растения мощные, плетистые. Плоды длиной 50-60 см, массой 6-8 кг, при хорошем уходе достигают 10-13 кг. Кора гибкая, семенное гнездо маленькое. Мякоть толстая, плотная, хрустящая и сочная, оранжевого цвета, очень ароматная. Вкус сладкий, содержание каротина повышенное. Используют в свежем виде в салатах и после термической обработки для приготовления гарниров, пюре, каш, десертов и как начинку для пирогов. Сорт засухоустойчивый, по сравнению с другими более устойчив к пониженным температурам и неблагоприятным погодным условиям. Плоды хорошо хранятся до февраля, меняя окраску кожицы на оранжевую. Урожайность – 6-7кг/м 2 .</t>
  </si>
  <si>
    <t>4601729182877</t>
  </si>
  <si>
    <t>Тыква Юнона, твердокорая (А/ц)</t>
  </si>
  <si>
    <t>Среднеранний сорт с семенами без кожуры. От всходов до начала сбора урожая 105-115 дней. Главная плеть длиной 3-3,5 м. На растении формируется 4-5 плодов, массой 5-6 кг. Мякоть желтая, приятная на вкус, при хранении содержание каротина и сахаров увеличивается. Рекомендуется для употребления в сыром виде, кулинарной переработки и получения семенной продукции. Семена оливково-зеленого цвета с высоким содержанием витаминов и цинка. Ценность сорта: устойчивость к пониженным температурам и хорошая лежкость.</t>
  </si>
  <si>
    <t>4601729077708</t>
  </si>
  <si>
    <t>Укроп Исполин 3г  (А\ц)</t>
  </si>
  <si>
    <t>Укроп</t>
  </si>
  <si>
    <t>Раннеспелый (от полных всходов до уборки на зелень 25-35 дней). Растение компактное, высотой 90-105 см, с наличием прикорневых розеток у основания стебля. Лист длинный, сильнорассеченный, темно-зеленый с сильным восковым налетом.  Масса одного растения при уборке на зелень 30-40г, на специи – 100-115 г (3 кг/м2). Суперароматный сорт с отличным, освежающим вкусом. Использование – традиционное: при консервировании овощей, как витаминная ароматная добавка в готовые блюда.</t>
  </si>
  <si>
    <t>4601729128950</t>
  </si>
  <si>
    <t>Укроп Лохматый лев (А/ц)</t>
  </si>
  <si>
    <t>Отличный новый сорт кустового укропа для получения большого количества зелени. Среднепоздний, достигает товарных размеров на 42-45 день от всходов. Растения сильно облиственные, с короткими междоузлиями и замедленным стеблеванием.Большая продолжительность уборки дает возможность получать более качественную зелень, так как с увеличением возраста растений возрастает их ароматичность.</t>
  </si>
  <si>
    <t>4601729107832</t>
  </si>
  <si>
    <t>Укроп Серебрянка (А\ц)</t>
  </si>
  <si>
    <t>Новый сорт укропа для открытого и защищенного грунта, средних сроков спелости. От всходов до уборки на зелень 35-45 дней. Относится к типу кустовых, формирует компактные, густооблиственные растения высотой 90-100 см. Листья темно-зеленые, с восковым налетом сизо-голубого оттенка. Ароматичность высокая, вкус пряный, приятный, освежающий. Масса зелени, получаемой с одного растения – 20-30 г. Средняя урожайность зелени 2,1-2,5 кг/м2. Все части растения богаты эфирными маслами, витаминами, флавоноидами и солями калия, кальция, фосфора и железа. Зелень можно сушить и замораживать впрок. Свежая продукция, собранная в сухую погоду, сохраняет потребительские качества в бытовом холодильнике до двух недель.</t>
  </si>
  <si>
    <t>4601729158377</t>
  </si>
  <si>
    <t>Фасоль Екатерина вьющаяся (А/ц)</t>
  </si>
  <si>
    <t>Неприхотливый сорт спаржевой фасоли. Среднеранний, сбор урожая начинают на 60-65 день после всходов. Растения вьющиеся, мощные, достаточно тяжелые, поэтому им нужны прочные опоры. Молодые бобы нежные, без пергаментного слоя. После легкой кулинарной обработки они имеют деликатесный вкус спаржи. Используют как самостоятельное блюдо в качестве гарнира, и как одно из составляющих в су пах, овощных рагу. Созревшие семена широко применяются во многих кухнях мира. Продуктивность – от 500 г до 1 кг с растения.</t>
  </si>
  <si>
    <t>4601729077920</t>
  </si>
  <si>
    <t>Фасоль Модница (А\ц)</t>
  </si>
  <si>
    <t>Раннеспелый сорт, от всходов до технической спелости бобов – 50-60 дней. Формирует кустовые растения высотой 40-50 см. Бобы длиной до 18 см, широкие, привлекательной пестрой окраски. На растении созревает до 70-75 бобов. Зрелые семена белого цвета. Сорт сахарный (спаржевый), створки бобов не содержат пергаментного слоя и грубых волокон. Вкус приятный, нежный. Используются в пищу лопатки с недозрелыми семенами целиком. Рекомендуется для домашней кулинарии и сезонных заготовок – консервирования и замораживания. Урожайность – 1,8-2 кг/м2.</t>
  </si>
  <si>
    <t>4601729063589</t>
  </si>
  <si>
    <t>Фасоль Рябушка 5г (А/ц)</t>
  </si>
  <si>
    <t>Сорт среднеранний (от полных всходов до наступления технической спелости – 55 дней). Растение кустового типа, стебель длиной до 50 см, высота прикрепления нижних бобов – 10-17 см. Боб слабоизогнутой формы, длиной 11-13 см, шириной 1,5-1,7 см, окраска в полной спелости – желтая с фиолетовыми разводами. Пергаментный слой отсутствует. Семена эллиптические, черные.</t>
  </si>
  <si>
    <t>4601729152900</t>
  </si>
  <si>
    <t>Ц Агастахе Пышноцвет, смесь сортов (А\ц)</t>
  </si>
  <si>
    <t>Многолетнее, пряно-ароматическое растение-медонос, высотой 60-65 см. В ландшафтном дизайне это истинная находка для создания эффектных цветочных вертикалей.</t>
  </si>
  <si>
    <t>4601729170034</t>
  </si>
  <si>
    <t>Ц Агератум Белый шар, мексиканский (А\ц)</t>
  </si>
  <si>
    <t>Неприхотливый летник, который славится непрерывным цветением на протяжении всего теплого сезона. Крепкие, приземистые растения высотой около 25-35 см отличаются хорошим боковым ветвлением. Белоснежные пушистые соцветия диаметром 6-9 см эффектно контрастируют с изумрудными листьями, напоминая живописное снежное убранство. При выборе подходящего для агератума участка в саду следует учесть, что максимально пышное, дружное его цветение отмечается на солнечных местах, при умеренном увлажнении и питании. В затенении возможно вытягивание побегов и ухудшение декоративных качеств. Сорт можно выращивать в горшечной культуре.</t>
  </si>
  <si>
    <t>4601729168055</t>
  </si>
  <si>
    <t>Ц Агератум Голубой шар, мексиканский (А\ц)</t>
  </si>
  <si>
    <t>Очаровательный летник непрерывного цикла цветения – с июня и до осенних заморозков. Приземистые растения хорошо ветвятся, образуя аккуратные шаровидные кустики высотой до 20-30 см. Пышные и мягкие соцветия диаметром 7-9 см обладают тонким ароматом и нежно-голубым оттенком. Для достижения максимальной декоративности агератума не следует допускать длительного переувлажнения и уплотнения почвы, значительного затенения, выгорания растений на открытом солнце. Сорт успешно выращивается в балконных контейнерах, садовых цветниках и вазонах. Великолепно смотрится при высадке плотными группами в виде бордюра.</t>
  </si>
  <si>
    <t>4601729052699</t>
  </si>
  <si>
    <t>Ц Агератум Конфетти , двуцветный (А\ц)</t>
  </si>
  <si>
    <t>Очаровательный неприхотливый летник с нежным ароматом и редкой, очень эффектной двуцветной окраской соцветий. За надежное и безотказное цветение с июня до первых заморозков прозван “долгоцветкой”. Образует кустики до 30 см в высоту, мелкие цветки собраны соцветия-корзинки 3-4 см, которые в свою очередь собраны в сложные щитковидные соцветия.</t>
  </si>
  <si>
    <t>4601729168437</t>
  </si>
  <si>
    <t>Ц Алиссум Черничное суфле, смесь окрасок (А\ц)</t>
  </si>
  <si>
    <t>Популярное  почвопокровное  растение с изумительным ароматом. Кустики компактные, густоветвистые, высотой 10-15 см. Цветение пышное на протяжении всего сезона. Растения холодостойкие, светолюбивые, не требуют особого ухода, растут быстро, зацветают уже через 30-40 дней после всходов.</t>
  </si>
  <si>
    <t>4601729184901</t>
  </si>
  <si>
    <t>Ц Альпийская смесь многолетняя 0,2 г. (А/ц)</t>
  </si>
  <si>
    <t>Богатая по составу смесь многолетних растений для сухих солнечных мест. Растения неприхотливые, растут и развиваются быстро. В короткие сроки заполняют всё свободное пространство вокруг себя. Наиболее пышное цветение начинается на второй год после посева, с мая, и продолжается до конца сезона. В первый год некоторые виды могут не зацвести. Cмесь станет настоящим украшением альпинариев, подпорных стенок, рабаток и бордюров. Подходит для выращивания в контейнерах и садовых вазах.</t>
  </si>
  <si>
    <t>4601729049910</t>
  </si>
  <si>
    <t>Ц Альпийская смесь Садовая мечта (мн) 0,5г. (А/ц)</t>
  </si>
  <si>
    <t>Смесь состоит из многолетних почвопокровных травянистых растений: алиссума горного, арабиса альпийского, армерии приморской и обриеты дельтовидной. Кусты низкорослые, в пору цветения не более 20-25 см в высоту. Быстро разрастаются вширь, образуют густые подушковидные куртины.</t>
  </si>
  <si>
    <t>4601729051449</t>
  </si>
  <si>
    <t>Ц Амарант Биколор (А\ц)</t>
  </si>
  <si>
    <t>Однолетник. Изысканный быстрорастущий летник с декоративной листвой. Растения прямостоячие, крепкие, ветвистые, образуют кусты пирамидальной формы высотой 60-80 см. Амаранты теплолюбивые, полной декоративности достигают на открытых, солнечных местах. Достаточно засухоустойчивые, полив необходим только при длительной засухе. Широко используются для оформления заднего плана цветников, высоких бордюров и в роли акцентного одиночного растения на клумбах.</t>
  </si>
  <si>
    <t>4601729061202</t>
  </si>
  <si>
    <t>Ц Амарант Русалка темнолистный (одн) 0,3гр ( А\ц)</t>
  </si>
  <si>
    <t>Очень декоративное, быстрорастущее растение с обильным и продолжительным цветением. Стебли прямостоячие, мощные, высотой 80-90 см, с крупными бордовыми листьями. Цветки мелкие, собраны в большие ветвистые соцветия длиной до 50 см.</t>
  </si>
  <si>
    <t>4601729185946</t>
  </si>
  <si>
    <t>Ц Арабис Весенний, смесь сортов (А\ц)</t>
  </si>
  <si>
    <t>Популярное раннецветущее многолетнее растение. Кустики стелющиеся, высотой 10-15 см, образуют плотные живописные куртины. В период цветения они сплошь покрыты цветками диаметром 1-2 см так, что почти не видно листвы. Растения неприхотливые, холодостойкие, предпочитают сухие и солнечные места. Украсят альпинарии, подпорные стенки, передний план цветников и садовые  контейнеры. Массовое обильное цветение начинается на второй год после посева в мае. Укрытие на зиму не требуется.</t>
  </si>
  <si>
    <t>4601729159817</t>
  </si>
  <si>
    <t>Ц Арабис Королевский смесь 0,1г (А\ц)</t>
  </si>
  <si>
    <t>Абсолютно неприхотливый почвопокровный многолетник. Высота взрослого растения в открытом грунте 25-30 см. Во время цветения травянистые растения густо покрываются привлекательными цветками, диаметром 1-1,5 см, с приятным ароматом. Арабис широко применяется в ландшафтном дизайне. Наилучшим образом подходит для оформления бордюров, миксбордеров и каменистых горок.</t>
  </si>
  <si>
    <t>4601729141089</t>
  </si>
  <si>
    <t>Ц Астра Балконная, смесь окрасок (А/ц)</t>
  </si>
  <si>
    <t>Удачная смесь китайских астр для воплощения ваших идей озеленения балконов и патио-двориков. Растение формирует пышный сильноветвистый кустик высотой 20-25 см с большим количеством крепких цветоносов. Соцветия махровые, яркие, диаметром около 6-8 см. Цветение обильное и продолжительное. Помимо украшения балконов, смесь прекрасно подойдет и для оформления бордюров, цветников, клумб.</t>
  </si>
  <si>
    <t>4601729168222</t>
  </si>
  <si>
    <t>Ц Астра Балун, смесь сортов (А/ц)</t>
  </si>
  <si>
    <t>Смесь ярких «воздушных шариков». По степени махровости астра Балун (Balloon) европейской селекции от компании Satimex превосходит все махровые астры. Шаровидные соцветия 12-15 см, устойчивы к дождю и ветру. На одном крепком пирамидальном кусте, высотой 50-60 см, формируется 6-8 штук прочных побегов.</t>
  </si>
  <si>
    <t>4601729055911</t>
  </si>
  <si>
    <t>Ц Астра Букетная желтая  0,2 гр (А/ц)</t>
  </si>
  <si>
    <t>Однолетник. Высота 65 см. Диаметр 9 см. Прекрасная астра с густомахровыми солнечными соцветиями. Формирует крепкий, стройный куст высотой 65-70 см, с длинными, прочными цветоносами. Соцветия плоско округлые, O8-10 см. Цветение раннее, обильное и продолжительное, с июля до глубокой осени. Одним из многочисленных досто-инств этой группы астр является высокая устойчивость к болезням и неблагоприятным погодным условиям. Использование универсальное – для украшения цветников и на срезку.</t>
  </si>
  <si>
    <t>4601729055744</t>
  </si>
  <si>
    <t>Ц Астра Букетная персиковый цвет (одн) 0,3гр  (А\ц)</t>
  </si>
  <si>
    <t>Высота растения 65 см.Диаметр цветка 9 см.Прекрасная срезочная астра с густомахровыми соцветиями редкого нежного оттенка. Кусты компактные, цилиндрические, высотой 50-65 см, с длинными прочными цветоносами. Соцветия плоскоокруглые, O 8-10 см. Цветение раннее, обильное и продолжительное, с июля до глубокой осени. Астры светолюбивые, холодостойкие, совершенно не выносят застоя воды в почве. Широко используются для посадки в цветники, рабатки, на клумбы, вдоль дорожек. Отлично подходят для срезки и составления осенних композиций.</t>
  </si>
  <si>
    <t>4601729051463</t>
  </si>
  <si>
    <t>Ц Астра Букетная темно-голубая (А\ц)</t>
  </si>
  <si>
    <t>Однолетник.Высота 65 см.Диаметр 9 см.Прекрасная срезочная астра с крупными густомахровыми соцветиями. Кусты компактные, коллоновидные, высотой 50-65 см, с длинными прочными цветоносами. Соцветия плоскоокруглые, O8-10 см. Цветение раннее, обильное и продолжительное, с июля до глубокой осени. Астры светолюбивые, холодостойкие, совершенно не выносят застоя воды в почве. Широко используются для посадки в цветники, рабатки, на клумбы, вдоль дорожек. Отлично подходят для срезки и составления осенних композиций.</t>
  </si>
  <si>
    <t>4601729134685</t>
  </si>
  <si>
    <t>Ц Астра День города, смесь (А/ц)</t>
  </si>
  <si>
    <t>Прекрасная смесь однолетних астр специально подобрана для любителей ярких красок в своем саду. Несмотря на свой компактный размер (высота кустика до 25 см), астра восхищает обильным и продолжительным цветением, с середины лета и до заморозков. Сорт отличается неприхотливостью и устойчивостью к неблагоприятным условиям. Прекрасно смотрится в бордюрах, групповых посадках. С успехом можно выращивать в горшках на балконах и террасах. Посадив однажды у себя этот цветок, вы больше не останетесь к нему равнодушными.</t>
  </si>
  <si>
    <t>4601729010149</t>
  </si>
  <si>
    <t>Ц Астра Золотое солнце 0,2 гр. (А/ц)</t>
  </si>
  <si>
    <t>Классическая астра универсального назначения с пионовидной формой соцветий диаметром 10 см. Густомахровые желтые «шапочки» на прочных цветоносах длиной 40 см необыкновенно привлекательны в букетах. Стройные кусты колонновидной формы (высотой 70-80 см) эффектно выглядят в садовых цветниках. Сорт цветет с конца июля и до устойчивых заморозков.</t>
  </si>
  <si>
    <t>4601729110467</t>
  </si>
  <si>
    <t>Ц Астра Королева сада белая (А/ц)</t>
  </si>
  <si>
    <t>Эффектная, обильноцветущая астра с крупными соцветиями ? 9-11 см. Кусты колонновидной формы, высотой 60-70 см, шириной до 30 см, с длинными, прочными цветоносами. Соцветия расположены по периферии куста. Цветение продолжительностью 40-45 дней. Среднее количество соцветий на кусте 12-15 шт. Растения устойчивы к фузариозу, неблагоприятным погодным условиям и вредителям. Использование универсальное – оформление цветников и срезка в букеты</t>
  </si>
  <si>
    <t>4601729020889</t>
  </si>
  <si>
    <t>Ц Астра Королевский размер розовая (А\ц)</t>
  </si>
  <si>
    <t>Однолетник. Великолепная серия крупноцветковых астр универсального назначения – на срезку и для оформления цветников. Формирует пышные, пирамидальные кусты высотой 80-90 см. Соцветия густомахровые, полусферической формы, Ø 10-12 см, на длинных, прочных цветоносах. Цветение обильное и длительное – с конца июля до устойчивых заморозков. Растения холодостойкие, светолюбивые, хорошо противостоят ветру и дождям. Обладают сравнительно высокой устойчивостью к болезням.</t>
  </si>
  <si>
    <t>4601729055805</t>
  </si>
  <si>
    <t>Ц Астра Монпасье белая  (А\ц)</t>
  </si>
  <si>
    <t>Невысокая астра с необычайно обильным цветением! Густомахровые шаровидные соцветия диаметром 7 см покрывают куст настолько плотно, что листвы практически не видно. Компактные, выравненные кустики хорошо выглядят по переднему краю смешанных цветников, из них получаются красивые бордюры вдоль садовых дорожек. Астра "Монпансье" идеально подходит для горшечного выращивания на балконах и террасах!</t>
  </si>
  <si>
    <t>4601729055812</t>
  </si>
  <si>
    <t>Ц Астра Монпасье карминная  (А\ц)</t>
  </si>
  <si>
    <t>Невысокая, компактная, обильноцветущая астра. Кустики прочные, хорошо разветвленные, высотой 20-25 см и шириной 25-30 см. Цветение начинается в конце июля. Соцветия  густомахровые, Ø 8-9 см. Сорт идеально подходит для горшков, садовых контейнеров и балконных ящиков. Отлично смотрится на альпийской горке. Используется для подбивки высокорослых сортов однолетних астр. Из низкорослых кустиков получаются великолепные бордюры и орнаменты.</t>
  </si>
  <si>
    <t>4601729010170</t>
  </si>
  <si>
    <t>Ц Астра Пале-рояль пионовидная (А\ц)</t>
  </si>
  <si>
    <t>Высота растения 65 см.Диаметр соцветия 10 см.Эффектная, долго цветущая астра. Куст колонновидный, высотой до 65 см. Соцветия густомахровые, с плотно сложенными лепестками, диаметром 8-10 см. Растение одновременно формирует 8-10 качественных соцветий на длинных, прочных цветоносах. Сорт универсального назначения – превосходно подходит для срезки и украшения садовых цветников.</t>
  </si>
  <si>
    <t>4601729024023</t>
  </si>
  <si>
    <t>Ц Астра Пестрая лента (А\ц)</t>
  </si>
  <si>
    <t>Однолетник.Высота растения 30 см,Диаметр соцветия 10 см.
Сорт с необычной, редкой окраской крупных (0 9-11 см) махровых соцветий-корзинок. Кусты компактные, плотные, высотой 25-30 см, с множеством цветоносов. Цветение раннее, обильное и продолжительное, с июля до окончания сезона. Растения холодостойкие, выносят заморозки до -3-4° С.Хорошо противостоят воздействию дождя и ветра. Отлично подходят для контейнерного озеленения, широко используются в цветниках различного типа.</t>
  </si>
  <si>
    <t>4601729136023</t>
  </si>
  <si>
    <t>Ц Астра Цветущий балкон, смесь (А\ц)</t>
  </si>
  <si>
    <t>Великолепный цветник прямо у вас дома! Изящные растения формируют яркий ковер с крупными густомахровыми соцветиями диаметром 10 см. Обильное цветение наступает раньше, чем у других сортов и продолжается вплоть до заморозков. Кусты компактные, хорошо ветвящиеся. Высота растений до 25 см. Помимо балконного озеленения, астра пригодна для оформления цветников, вазонов, окаймления садовых дорожек. Подходит для срезки в мини-букеты. Сорт толерантен к фузариозу.</t>
  </si>
  <si>
    <t>4601729169120</t>
  </si>
  <si>
    <t>Ц Астра Шикарные пионы, смесь  (А\ц)</t>
  </si>
  <si>
    <t>Одна из самых красивых разновидностей астр. Крупные соцветия ярких окрасок в изобилии распускаются с июля до глубокой осени. Кусты крепкие, высотой 70-80 см, с большим количеством длинных, прочных цветоносов. Соцветия густомахровые, Ø 7-9 см. Растения холодостойкие, устойчивые к непогоде. Украсят цветники: рабатки, клумбы. Идеально подходят для срезки в букеты.</t>
  </si>
  <si>
    <t>4601729047817</t>
  </si>
  <si>
    <t>Ц Астра Школьная, смесь (А\ц)</t>
  </si>
  <si>
    <t>Прекрасная смесь махровых астр популярных типов наполнит ваш сад яркими красками с августа по октябрь. Высокие (до 80 см), прочные кусты обеспечат вас срезкой хорошего качества. Палитра расцветок богатая, форма соцветий (? 10- 14 см) самая разнообразная. Вы сможете собрать великолепные букеты для школьников и украсить срезкой домашний интерьер.</t>
  </si>
  <si>
    <t>4601729058387</t>
  </si>
  <si>
    <t>Ц Астра Яблочная (А/ц)</t>
  </si>
  <si>
    <t>Высота 70 см.Диаметр 10 см.Прекрасная срезочная астра, с совершенно новой формой цветка. Куст пирамидальный, высотой до 70 см. Соцветия розового цвета, с длинными изогнутыми внутрь и закрученными лепестками. Диаметр cоцветия 7-10 см. За период вегетации этот сорт формирует 8-10 цветоносов. Он великолепно подходит для срезки, транспортировки и хранения.</t>
  </si>
  <si>
    <t>4601729086861</t>
  </si>
  <si>
    <t>Ц Барвинок Сицилия, смесь сортов 0.1г (А\ц)</t>
  </si>
  <si>
    <t>«Лакированные» листья с хрустальными жилками и яркие цветки, диаметром 3-4 см, похожие на флокс, на компактном аккуратном кусте, высотой 25-40 см, смотрятся очень нарядно, празднично. Многолетник по природе, в условиях средней полосы используется как летник или комнатное. Охотно растет из семян, сравнительно неприхотлив в уходе.</t>
  </si>
  <si>
    <t>4601729171932</t>
  </si>
  <si>
    <t>Ц Бархатцы Аляска прямостоячие 0,1 г  (А\ц)</t>
  </si>
  <si>
    <t>Однолетник. Бархатцы АЛЯСКА очень популярны у цветоводов из-за эффектной окраски и впечатляющих размеров густомахровых соцветий (O13-15 см). Сорт формирует хорошо разветвленные кусты высотой 50-60 см. Растения крепкие, хорошо облиственные, отлично смотрятся моногруппой и в смешанных цветниках в среднем ярусе. Легко переносят воздействие дождя и ветра, неприхотливые. Отлично подходят для срезки, сохраняя в воде свежесть и красоту до 15 дней.</t>
  </si>
  <si>
    <t>4601729137327</t>
  </si>
  <si>
    <t>Ц Бархатцы Болеро Экстра отклоненные (А\ц)</t>
  </si>
  <si>
    <t>Бархатцы «Болеро Экстра» – яркие огоньки, которые оживят сад и сделают нескучной любую клумбу. Миниатюрные, компактные кустики (высотой 20-30 см) в период цветения сплошь покрываются махровыми соцветиями ( Ø 5-7 см). Окраска цветков очень необычная – красно-коричневая с небольшими вкраплениями золотисто-желтого. Растения очень неприхотливые, отличаются обильным и продолжительным цветением, оказывают санитарное воздействие на почву. Сорт великолепно подходит для оформления бордюров, клумб и для посадок в вазоны и балконные ящики</t>
  </si>
  <si>
    <t>4601729168864</t>
  </si>
  <si>
    <t>Ц Бархатцы Бонанза темно-оранжевые (А/ц)</t>
  </si>
  <si>
    <t>Бархатцы американской селекции Бонанза – абсолютный лидер продаж! За декоративные свойства удостоены международной награды. Сорт удивительно крупноцветковый для отклоненных (французских) бархатцев, цветки диаметром 5-8 см! Растения низкорослые, высотой 25-30 см. Кустики плотные, густые, компактные, зацветают рано. Отлично адаптируются к различным условиям выращивания. При этом сохраняют потрясающую «сочность» апельсинового оттенка соцветий и по-настоящему роскошное и пышное цветение. Это идеальное украшение садовых клумб в качестве ковровых посадок, а также находка для балконных контейнеров и горшков.</t>
  </si>
  <si>
    <t>4601729133763</t>
  </si>
  <si>
    <t>Ц Бархатцы Брокада, смесь (А/ц)</t>
  </si>
  <si>
    <t>Букет бархатцев! Именно так воспринимаются эти компактные, высотой всего 20-25 см кустики, почти сплошь покрытые цветами. Быстрорастущие и неприхотливые, они в любой год, независимо от погоды, украсят ваш цветник. Продолжительное –  цветение до заморозков  и миниатюрный размер делают их идеальным выбором для посадки на переднем плане миксбордера или в контейнере, особенно в соседстве с цинерариями, лобелией или кохией. Высаживают их и в огороде – для отпугивания вредителей.</t>
  </si>
  <si>
    <t>4601729169137</t>
  </si>
  <si>
    <t>Ц Бархатцы Ванильное небо (А\ц)</t>
  </si>
  <si>
    <t>Изумительный гибрид с шикарными крупными соцветиями редчайшей окраски. Быстро формирует гармоничные, коренастые, сильноветвистые кустики высотой 40-45 см. Соцветия густомахровые, Ø 7-8 см. Цветение невероятно обильное и долгое. Растения устойчивы к болезням и вредителям. Впечатляюще смотрятся в бордюрах, рабатках, на клумбах. Подходят для выращивания в садовых вазах. Могут использоваться на срезку.</t>
  </si>
  <si>
    <t>4601729034169</t>
  </si>
  <si>
    <t>Ц Бархатцы Вишневый браслет 0.3г (А\ц)</t>
  </si>
  <si>
    <t>Однолетник. Высота растения  25 см. Диаметр цветка 5 см. Компактные, низкорослые бархатцы с махровыми соцветиями. Кустики высотой до 25 см, плотные, ветвистые, густо покрыты соцветиями O4-6 см. Цветение наступает рано, в начале лета и продолжается до первых заморозков. Растения хорошо переносят воздействие дождя и ветра, не разваливаются и не оголяются в центре. Очень неприхотливые, переносят пониженные и повышенные температуры не прекращая цветения. Великолепно смотрятся при выращивании в горшках и балконных ящиках, подходят для ковровых посадок на клумбах и в бордюрах.</t>
  </si>
  <si>
    <t>4601729151248</t>
  </si>
  <si>
    <t>Ц Бархатцы Дюранго оранжевые (А\ц)</t>
  </si>
  <si>
    <t>Необыкновенные ярко-оранжевые бархатцы американской селекции от компании Pan American seed! Пушистые аккуратные кусты, высотой 25- 30 см, отлично ветвятся, образуя множество махровых соцветий, Ø 5-6 см. Бархатцы Дюранго созданы для разнообразных цветочных композиций, садовых вазонов и контейнеров.</t>
  </si>
  <si>
    <t>4601729180774</t>
  </si>
  <si>
    <t>Ц Бархатцы Кармен отклоненные (А/ц)</t>
  </si>
  <si>
    <t>Однолетник. Высота растения 30 см. Диаметр цветка 5 см. Удивительные бархатцы покорили не одно сердце садовода-любителя, вот и сегодня не перестают удивлять своей необыкновенно эффектной внешностью. Восхитительные цветки красавицы Кармен лучатся красными огоньками на фоне сочной зелени и на протяжении всего лета украшают балконы, клумбы, рабатки. Станут отличным помощником в заполнении промежутков между соседними растениями.</t>
  </si>
  <si>
    <t>4601729159879</t>
  </si>
  <si>
    <t>Ц Бархатцы Королева Марго отклоненные (А\ц)</t>
  </si>
  <si>
    <t>Сорт с очень ранним и продолжительным цветением. Формирует низкорослые кусты высотой 30-40 см. В период массового цветения весь кустик покрывается яркими соцветиями, Ø 4-6 см. Бархатцы наилучшим образом под ходят для оформления клумб, бордюров, рабаток. Прекрасно растут в контейнерах и вазонах.</t>
  </si>
  <si>
    <t>4601729009228</t>
  </si>
  <si>
    <t>Ц Бархатцы Красная вишня отклоненные (А\ц)</t>
  </si>
  <si>
    <t>Компактный сорт бархатцев с многочисленными махровыми соцветиями оригинальной окраски. Высота растений до 30 см, диаметр соцветий 4-6 см. Цветение раннее и продолжительное невзирая на неблагоприятные погодные условия. Кустики ветвистые, с большим количеством цветоносов. Растения неприхотливые, тепло- и светолюбивые, засухоустойчивые, способны расти в маленьком объеме земли</t>
  </si>
  <si>
    <t>4601729172014</t>
  </si>
  <si>
    <t>Ц Бархатцы Красный ковер отклоненные (А\ц)</t>
  </si>
  <si>
    <t>Раннецветущий карликовый сорт с улучшенными декоративными качествами. Высота растений около 25-35 см. Густые, пушистые, крепкие кустики привлекательно смотрятся высаженными в виде ковровых посадок в цветниках. Они отлично растут в ограниченном объеме грунта – балконных контейнерах и садовых вазонах. Аккуратные, выразительные, плотные соцветия диаметром 4-6 см обладают глубоким, насыщенным оттенком. Обильно распускаясь в разгар лета, они на протяжении всего сезона не утрачивают своей яркости на солнце и после дождей. Бархатцы защищают посаженные по соседству культуры от болезней и вредителей.</t>
  </si>
  <si>
    <t>4601729041730</t>
  </si>
  <si>
    <t>Ц Бархатцы Мандарин отклоненные 0.3г  (А/ц)</t>
  </si>
  <si>
    <t>Название они получили из-за махровых цветков насыщенного мандаринового цвета, которые наполнят Ваш сад множеством солнечных бликов. Станут отличным помощником в заполнении промежутков между соседними растениями. Выращивают рассадным способом. Посев проводят в первой половине апреля.</t>
  </si>
  <si>
    <t>4601729183485</t>
  </si>
  <si>
    <t>Ц Бархатцы Панда оранжевые (А\ц)</t>
  </si>
  <si>
    <t>Изумительная серия крупноцветковых бархатцев иностранной селекции. Размер махровых соцветий достигает 8-11 см! Растения высотой около 40-50 см, состоят из множества крепких боковых побегов. Цветение начинается в конце июня, соцветия распускаются непрерывно вплоть до осени. К разгару лета шаровидные густые кустики полностью покрыты яркими пышными цветками. Лепестки в соцветиях сложены плотно друг к другу, поэтому под воздействием осадков они не утрачивают своей красоты. Эти гибриды по праву можно назвать одними из самых лучших по совокупности декоративных свойств. Серия украсит садовые вазоны и центральные клумбы. Подходит для срезки.</t>
  </si>
  <si>
    <t>4601729159152</t>
  </si>
  <si>
    <t>Ц Бархатцы Рубиновые хохлатые отклоненные (А\ц)</t>
  </si>
  <si>
    <t>Карликовый сорт французских (отклоненных) бархатцев с двухцветной выразительной окраской крупных соцветий (Ø 5-6 см). Высота взрослых кустиков не превышает 20-25 см. Они эффектно смотрятся в садовых вазонах и балконных контейнерах. Подходят для оформления бордюров за счет активного бокового ветвления и обилию цветков. Содержащееся в растениях эфирное масло придает им неповторимый терпкий аромат. Осенью измельченные расти тельные остатки можно использовать в качестве удобрения для почвы. Содержащиеся в них фитонциды оздоравливают грунт от вредителей.</t>
  </si>
  <si>
    <t>4601729161605</t>
  </si>
  <si>
    <t>Ц Бархатцы Санни F1 золотистые прямостоячие (А\ц)</t>
  </si>
  <si>
    <t>Гибрид с превосходными декоративными качествами. Махровые, по-настоящему крупные цветки достигают 8-9 см в диаметре. Бархатцы Санни F1 отличаются устойчивостью к болезням и вредителям. Серия ценится за простоту в уходе и непрерывное цветение на протяжении всего сезона. Растения среднерослые, высота крепких, прямостоячих побегов до 40-50 см. Боковые стебли обеспечивают компактным кустикам аккуратную форму. Соцветия плотные, после дождя и полива влага не скапливается в основании лепестков. Цветки долго сохраняют яркость, свежесть и опрятный вид. Серия рекомендована для украшения клумб, бордюров, вазонов и букетов.</t>
  </si>
  <si>
    <t>4601729161612</t>
  </si>
  <si>
    <t>Ц Бархатцы Санни F1 оранжевые прямостоячие (А\ц)</t>
  </si>
  <si>
    <t>4601729123818</t>
  </si>
  <si>
    <t>Ц Бархатцы Танжерин обильноцветущие (А\ц)</t>
  </si>
  <si>
    <t>Обильноцветущие, крупноцветковые, компактные бархатцы. Образуют аккуратные, выровненые по форме и размеру, сильноветвистые кустики высотой 25-30 см и шириной 15-20 см. Соцветия диаметром 5-7 см, яркие, пышные, располагаются выше листвы. Растения неприхотливые, развиваются быстро, зацветают рано. Цветение сохраняется весь сезон, до первых заморозков. Вредителями и болезнями не повреждаются, легко переносят дождливую и ветреную погоду. Идеальны для бордюрных посадок, украшения клумб. Прекрасно подходят для выращивания в горшках и балконных ящиках.</t>
  </si>
  <si>
    <t>4601729164361</t>
  </si>
  <si>
    <t>Ц Бархатцы Фантастика прямостоячие, смесь  0.1 г (А\ц)</t>
  </si>
  <si>
    <t>Однолетник. Высота 70 см. Диаметр 10 см. Оригинальная смесь бархатцев с изумительной формой и окраской крупных (O 9-11 см), густомахровых соцветий. Кусты мощные, ветвистые, высотой до 70 см, с крепкими цветоносами, стойко переносят непогоду не теряя своей декоративности. Цветение очень раннее, обильное и продолжительное, с начала июня и до осенних заморозков. Бархатцы тепло- и светолюбивые, засухоустойчивые, не любят сырых, переувлажненных почв. Широко используются на клумбах, в цветниках, хорошо подходят для заполнения промежутков между растениями.</t>
  </si>
  <si>
    <t>4601729184413</t>
  </si>
  <si>
    <t>Ц Бархатцы Фламенко отклоненные (А\ц)</t>
  </si>
  <si>
    <t>Абсолютно новые бархатцы от американской компании PanAmerican для вашего сада! Главное отличие от всех других отклоненных бархатцев – уникальный узор цветка. Яркие привлекательные желтые лепестки с красными кончиками сказочно выглядят в контейнерах, патио, бордюрах и цветниках. Растения формируют компактный сильноветвистый кустик, высотой 25-30 см и шириной 15-20 см. В период массового цветения куст полностью покрывается цветками,  Ø 5-8 см.</t>
  </si>
  <si>
    <t>4601729172526</t>
  </si>
  <si>
    <t>Ц Бархатцы Хризантема Голд (А/ц)</t>
  </si>
  <si>
    <t>Впечатляющий сорт бархатцев с крупными хризантемовидными соцветиями. Кусты прочные, сильноветвистые, высотой 35-45 см, устойчивые к непогоде, с большим количеством цветоносов. Соцветия диаметром 7-8 см густомахровые, плотные, в изобилии появляются с начала лета и допервых заморозков. Растения великолепно подходят для создания бордюров, украсят клумбы, рабатки и садовые контейнеры. Дают отличную срезку.</t>
  </si>
  <si>
    <t>4601729180194</t>
  </si>
  <si>
    <t>Ц Бархатцы Чемпион красные (А/ц)</t>
  </si>
  <si>
    <t>Невысокие, всего 20-25 см, поразительн «пушистые» кустики начинают цвести порой еще на стадии рассады. Яркие, словно язычки пламени соцветия диаметром 3-4 см на темно-изумрудном фоне будут радовать глаз весь сезон. Потрясающее сочетание декоративности и неприхотливости! Компактные и аккуратные кустики отлично подходят для выращивания в контейнерах на балконах и солнечных патио, для оформления клумб, рабаток и даже сложных – ковровых и узорных – миксбордеров.</t>
  </si>
  <si>
    <t>4601729172540</t>
  </si>
  <si>
    <t>Ц Бархатцы Чернобурка 0,3 гр. (А\ц)</t>
  </si>
  <si>
    <t>Обильноцветущий однолетник с яркими соцветиями. Растения формируют крепкие шаровидные кустики, которые хорошо ветвятся. Их высота в открытом грунте 30-50 см. Соцветия диаметром 4-6 см надолго сохраняют свою насыщенную окраску и аккуратную форму. Сорт отлично растет в ограниченном объеме грунта, поэтому подходит для выращивания в горшках и балконных ящиках объемом 4-5 л. Из бархатцев получаются пышные садовые бордюры. Их выращивают в клумбах, рабатках и миксбордерах.</t>
  </si>
  <si>
    <t>4601729159886</t>
  </si>
  <si>
    <t>Ц Бархатцы Эльбрус (А\ц)</t>
  </si>
  <si>
    <t>Оригинальный сорт с невероятно обильным цветением. Растения формируют крепкие кусты, высотой 35-50 см. Соцветия редкой и очень красивой кремово-белой окраски, диаметром 5-7 см. В клумбах, цветниках и балконных ящиках сорт смотрится изысканно и нежно. Помимо высокой декоративности, бархатцы обладают лечебными свойствами. Из высушенных цветков заваривают чай и готовят целебные настои.</t>
  </si>
  <si>
    <t>4601729151255</t>
  </si>
  <si>
    <t>Ц Бегония Мандариновая 5 шт. (А\ц)</t>
  </si>
  <si>
    <t>Клубневая бегония с самым крупным цветком в мире американской селекции от компании PanAmerican Seed. На крепких растениях, вы сотой – 35-50 см и шириной – 25-30 см, располагаются роскошные гофрированные цветы диаметром 13-23 см. На фоне густой изумрудной листвы ярко-оранжевые цветки смотрятся потрясающе! Бегония украсит собой любую клумбу и цветочную композицию. В конце вегетации формируются клубни, которые можно сохранить зимой в прохладном помещении (температура не выше +10 °С) и использовать при посадке в следующем сезоне.</t>
  </si>
  <si>
    <t>4601729039867</t>
  </si>
  <si>
    <t>Ц Василек Брусничный джем махровый, смесь (А\ц)</t>
  </si>
  <si>
    <t>Великолепный однолетний василек с крупными со цветиями-корзинками (O 5-7 см) различных окрасов. Цветение продолжительное, с июня до заморозков. Кустики изящные, ветвистые, высотой до 80 см. Растения неприхотливые, засухоустойчивые, легко переносят понижение температуры без ущерба для цветения. Прекрасно растут в цветниках и бордюрах, на клумбах, подходят для выращивания в контейнерах. Используются как срезочная культура для составления букетов.</t>
  </si>
  <si>
    <t>4601729180309</t>
  </si>
  <si>
    <t>Ц Вербаскум Римские свечи, смесь (А/ц)</t>
  </si>
  <si>
    <t>Впечатляющее растение с обильным и длительным цветением. Практически не требует ухода, в поливах и подкормках не нуждается. Формирует крупную розетку листьев с мощными “свечками” – цветоносами высотой до 1 м. Цветки диаметром 3-4 см распускаются поочередно почти всё лето. Смесь отлично подходит для сухих солнечных мест с бедными почвами и крупных контейнеров. Вредителями и болезнями не поражается. Прекрасно удается даже у начинающих цветоводов.</t>
  </si>
  <si>
    <t>4601729163821</t>
  </si>
  <si>
    <t>Ц Вербена Яркие искры (А\ц)</t>
  </si>
  <si>
    <t>Однолетник. Суперкомпактный размер растений и обильное, продолжительное цветение – главные преимущества смеси. Шаровидные кустики не более 20 см высотой обладают хорошим базальным ветвлением – от основания, не вытягиваются с возрастом. Соцветия-щитки O 6-7 см с богатой палитрой расцветок красиво контрастируют с темно-зеленой листвой. Растения достаточно неприхотливые – холодо- и жаростойкие, с высоким иммунитетом к мучнистой росе. Идеально подходят для бордюрных и ковровых посадок, для выращивания в горшках и балконных ящиках.</t>
  </si>
  <si>
    <t>4601729071812</t>
  </si>
  <si>
    <t>Ц Виола Горная романтика, смесь многолетняя (А/ц)</t>
  </si>
  <si>
    <t>Многолетники</t>
  </si>
  <si>
    <t>Многолетнее растение, кустики плотные, усыпаны огромным количеством цветков. Цветки желтые, фиолетовые и желто-пурпурные. Цветение длительное - июнь-сентябрь. Одинакова хороша как в одиночных посадках на фоне газона, так и в групповых цветочных композициях, и также незаменима при украшении альпийских горок. При длительном выращивании наблюдается обильный самосев. Для раннего и обильного цветения на рассаду высевают ранней весной.</t>
  </si>
  <si>
    <t>4601729187414</t>
  </si>
  <si>
    <t>Ц Виола Ультрамарин 20 шт. (А\ц)</t>
  </si>
  <si>
    <t>Великолепный обильноцветущий сорт с крупными бархатистыми цветками. Принадлежит к группе швейцарских гигантов, отличающихся особо крупными размерами куста и цветков. Кустики ветвистые, высотой 15-25 см, усыпаны цветками Ø6-8 см на прочных цветоносах с ранней весны и до поздней осени. Сорт неприхотливый, холодостойкий, лучше развивается на солнце но может расти и в полутени. Удаление увядших цветков способствует более обильному и продолжительному цветению. Идеально подходит для контейнерной культуры, хорошо смотрится на клумбах и в бордюрах.</t>
  </si>
  <si>
    <t>4601729050930</t>
  </si>
  <si>
    <t>Ц Вязель Янтарная пудра (А\ц)</t>
  </si>
  <si>
    <t>Многолетник. Высота 40 см. Неприхотливый почвопокровный многолетник со стелющимися, ветвящимися побегами до 100 см. в длину. Растет быстро, уже в первый год жизни образует крупные нарядные заросли высотой до 40 см. В течении всего лета над ними появляются очаровательные полушаровидные соцветия, привлекающие большое количество пчел и шмелей. Вязель является отличным медоносом, а так же обогащает почву азотом с помощью бактерий живущих на его корнях. Подходит для использования в каменистых садах, создания ярких цветовых пятен на клумбах, хорошо сочетается с декоративными травами.</t>
  </si>
  <si>
    <t>4601729039904</t>
  </si>
  <si>
    <t>Ц Гайлардия Лорензиана, смесь (А\ц)</t>
  </si>
  <si>
    <t>Однолетник. Очень удачная смесь великолепно подобранных оттенков гайлардии с яркими, не выгорающими на солнце контрастными цветками. Сочетает в себе: компактные кусты высотой до 60 см, обилие крупных (O8-10 см) цветков и раннее, длительное цветение. Роскошные цветки обладают глубокими, насыщенными, яркими окрасками и на протяжении длительного времени радуют своей красотой в любом уголке сада: на клумбах, альпийских горках и в бордюрах. Не менее эффектно они выглядят и при оформлении контейнеров и вазонов.</t>
  </si>
  <si>
    <t>4601729182280</t>
  </si>
  <si>
    <t>Ц Гайлардия Санданс красная 0.05 г. (А\ц)</t>
  </si>
  <si>
    <t>Новая серия низкорослой однолетней гайлардии "Санданс" (Sundance) европейской селекции. Высокоустойчива к капризам по годы. Неприхотлива и очень декоративна до осенних заморозков. На протяжении лета растения непрерывно образуют пышные махровые шаровидные соцветия диаметром 5-6 см. Компактные кустики высотой около 40- 50 см эффектно выглядят при высадке группами в рабатках и бордюрах. Это великолепная срезочная и горшечная культура, надолго сохраняющая прекрасный облик.</t>
  </si>
  <si>
    <t>4601729168925</t>
  </si>
  <si>
    <t>Ц Гацания Нью Дэй F1 белая  (А/ц)</t>
  </si>
  <si>
    <t>Данный гибрид имеет аккуратный и гармоничный вид небольшого кустика, высотой 20-25 см и шириной 15-20 см. Диаметр корзинок достигает 10-12 см. Цветение очень равномерное и достаточно обильное.</t>
  </si>
  <si>
    <t>4601729151866</t>
  </si>
  <si>
    <t>Ц Гвоздика картузианская Мисс Марпл (А\ц)</t>
  </si>
  <si>
    <t>Многолетняя, зимостойкая гвоздика. Вид назван в честь ордена картузианцев, монастыри которого она украшала с давних времен. Растения утонченные, изящные, но при этом крепкие и выносливые. Высотой до 60 см, с длинными, узкими листьями. Темно-розовые цветки с остро-зубчатым краем собраны в головчатые соцветия диаметром 4-5 см. В каждом – по 6-14 штук. Сорт пред почитает цветники солнечного местоположения, привлекая бабочек. Отлично растет у подножия альпийской горки и в каменистых садиках. Подходит для срезки.</t>
  </si>
  <si>
    <t>4601729153778</t>
  </si>
  <si>
    <t>Ц Гвоздика китайская Наденька, смесь сортов 0,1г  (А/ц)</t>
  </si>
  <si>
    <t>Очаровательная смесь с разнообразной окраской цветков. Формирует низкие декоративные кустики с сизой листвой, над которыми, во время цветения, возвышаются многочисленные цветоносы до 40 см в высоту. Цветки  3-4 см начинают появляться уже через 2-3 месяца после всходов.</t>
  </si>
  <si>
    <t>4601729134340</t>
  </si>
  <si>
    <t>Ц Гелениум Огонь любви, смесь окрасок (А/ц)</t>
  </si>
  <si>
    <t>Даже самый невзрачный сад превратится в яркий, сочный пейзаж! Зацветая в конце августа, гелениум словно продлевает лето. Достигающие 120 см в высоту пышные кусты пригодны для кулисных посадок. Их используют и для оформления заднего плана цветников. Неприхотливы, растут на любых типах почв, на солнце и в полутени. Нарядные цветы привлекают насекомых-опылителей. Хорошо сочетаются с георгинами, солидаго, тысячелистником птармика, кохией, злаками. Отлично стоят в срезке. Нуждаются в делении куста каждые 3-4 года.
В смесь входят окраски: желтая – 50%, красная – 50%.</t>
  </si>
  <si>
    <t>4601729153785</t>
  </si>
  <si>
    <t>Ц Гелениум Шербурские зонтики, смесь сортов (А/ц)</t>
  </si>
  <si>
    <t>Популярный неприхотливый многолетник. Относится к немногочисленной группе растений, зацветающих в конце сезона. Формирует мощные кусты с многочисленными стеблями высотой 120-130 см. Соцветия-корзинки диаметром 3-5 см собраны в крупные верхушечные кисти, и в изобилии появляются с августа до устойчивых заморозков. Это отличное растение для заднего плана цветников и как отдельно растущее, неизменно притягивающее к себе внимание. Прекрасно подходит для срезки.</t>
  </si>
  <si>
    <t>4601729172953</t>
  </si>
  <si>
    <t>Ц Гелиопсис Золотая вспышка (А/ц)</t>
  </si>
  <si>
    <t>Гелиопсис (в переводе с латыни: «похожий на солнце») – это высокорослый эффектный многолетник, который легко вырастить из семян. Находка для садовода: сорт неприхотливый в уходе, отличается высокой зимостойкостью, на одном месте на участке может расти более 10 лет. Растения изящные, крепкие, высотой около 1-1,3 м. Зацветают в разгар лета, непрерывно образуют новые бутоны до глубокой осени. Цветки золотисто-желтые, полумахровые,  диаметром 7-9 см. Очень красиво выглядят в срезке. Рассаду следует высаживать в палисадниках, вдоль заборов и вокруг беседок, в миксбордерах.</t>
  </si>
  <si>
    <t>4601729181641</t>
  </si>
  <si>
    <t>Ц Годеция Гранатовая Биколор махровая (А\ц)</t>
  </si>
  <si>
    <t>Очаровательный однолетник, привлекающий к себе внимание эффектными шелковистыми цветками, напоминающими цветы азалии. Растение высотой 30-40 см с многочисленными прямыми разветвленными побегами. Листочки ланцетовидной формы, насыщенно-зеленого цвета. Полумахровые и простые цветки могут достигать диаметра 5-6 см, собраны в кистеобразные соцветия. Цветение обильное и продолжительное. Отлично смотрится в рабатках, бордюрах, балконных ящиках и уличных вазонах. Прекрасный материал для составления букетов.</t>
  </si>
  <si>
    <t>4601729181856</t>
  </si>
  <si>
    <t>Ц Годеция Хрустальная снежинка 0,05г (А\ц)</t>
  </si>
  <si>
    <t>Однолетник.Высота растения 40 см.Диаметр цветка 5 см.Однолетнее, обильноцветущее растение с многочисленными цветками чашевидной формы. Цветки крупные (Ø4-6 см), шелковистые, переливающиеся перламутром, собраны в плотные, короткие кисти. Цветение раннее и продолжительное. Растения высотой 30-40 см, сильно кустистые, устойчивые к непогоде. Годеция отлично смотрится в рабатках, бордюрах и миксбордерах.</t>
  </si>
  <si>
    <t>4601729152504</t>
  </si>
  <si>
    <t>Ц Зорька Огненный крест (А\ц)</t>
  </si>
  <si>
    <t>Эффектное многолетнее растение с яркими огненно-красными цветками. Неприхотливое, зимостойкое, с обильным и продолжительным цветением (что достаточно редко для многолетников). Крепкие стебли высотой 80-90 см, несут большое количество соцветий диаметром 9-10 см. Зорька красиво смотрится в цветниках, особенно с контрастными сочетаниями цветов других видов. Впечатляюще выглядят высокие бордюры из неё вдоль дорожек. Она легка в уходе, и вырастить её сможет даже начинающий садовод.</t>
  </si>
  <si>
    <t>4601729056871</t>
  </si>
  <si>
    <t>Ц Иберис Лазурит 0.1г  (А\ц)</t>
  </si>
  <si>
    <t>Неприхотливое, обильноцветущее низкорослое растение с приятным ароматом. Мелкие цветки Ø 1-1,5 см собраны в плотные щитковидные соцветия Ø 5-6 см. Кустики компактные, с многочисленными приподнимающимися побегами до 25 см в высоту. Растения светолюбивые, но выносят легкое затенение. Отлично подходят для бордюров, альпийских горок, контейнеров и балконных ящиков. Рекомендуется посадить у мест отдыха, что бы наслаждаться благоуханием цветущего растения</t>
  </si>
  <si>
    <t>4601729009006</t>
  </si>
  <si>
    <t>Ц Календула балконная (А\ц)</t>
  </si>
  <si>
    <t>Однолетник. Высота растения 30 см. Диаметр цветка 4 см. Однолетнее низкорослое растение с компактным широким кустом  и махровыми соцветиями. Используется для посадки на клумбы, балконы, окна, в наземные вазы.</t>
  </si>
  <si>
    <t>4640012531169</t>
  </si>
  <si>
    <t>Ц Календула Махровое чудо (А\ц)</t>
  </si>
  <si>
    <t>Однолетник. Высота растения 60 см. Кусты густые, прочные. Цветки густо-махровые, разных оттенков желтого и оранжевого цвета, диаметром 6-7 см. Растение неприхотливое к условиям выращивания. Цветет с конца июня до заморозков.</t>
  </si>
  <si>
    <t>4601729163845</t>
  </si>
  <si>
    <t>Ц Календула Розовый сюрприз махровая  (А\ц)</t>
  </si>
  <si>
    <t>Красивый сорт с неповторимой окраской. Формирует крепкие, хорошо кустящиеся растения высотой 40-60 см. Соцветия-корзинки изящные, махровые, крупные –  Ø 5-7 см. Растения неприхотливые – устойчивые к вредителям и болезням, холодостойкие, не требовательные к почве. Используются в групповых посадках на клумбах, в цветниках и рабатках, для срезки в букеты.</t>
  </si>
  <si>
    <t>4601729065514</t>
  </si>
  <si>
    <t>Ц Календула Солнце Египта (А\ц)</t>
  </si>
  <si>
    <t>Крупноцветковый, обильноцветущий сорт с махровыми соцветиями Ø 6-8 см. Кусты крепкие, хорошо ветвящиеся, высотой 50-60 см. Цветение продолжается с июня до глубокой осени. Растения используют для групповых посадок на клумбах, в рабатках и лекарственных садиках. Пригодны они и для срезки. Календула отпугивает вредителей от огородных культур. Соцветия обладают бактерицидными свойствами, используются в медицине.</t>
  </si>
  <si>
    <t>4601729181887</t>
  </si>
  <si>
    <t>Ц Камнеломка Рубиновые звезды (А\ц)</t>
  </si>
  <si>
    <t>Почвопокровная многолетняя культура. Прекрасно зимует в средней полосе. Растение низкорослое, образует густую розетку миниатюрных листьев. Как только сходит снежный покров, камнеломка активно готовится к цветению. Она привлекательна и декоративна на протяжении всего сезона. Изящные цветоносные побеги высотой около 15 см украшены прелестными розоватыми цветками  диаметром 1-2 см. Цветение начинается в мае, длится до 30 дней. Сорт прекрасно выглядит на каменистых горках и в виде бордюров.</t>
  </si>
  <si>
    <t>4601729088032</t>
  </si>
  <si>
    <t>Ц Ковыль Пушистое облако (А\ц)</t>
  </si>
  <si>
    <t>Эффектная декоративная многолетняя злаковая культура. Засухоустойчивая, быстро растет. Образует плотные кустики высотой около 40-50 см, во время цветения достигающие высоты 70 см. Сорт используют на альпийских горках, в рокариях. Подходит для выращивания в контейнерах. Взрослое растение образует декоративные колосья, которые очаровательно смотрятся в составе как свежих, так и сухих букетов. На зиму рекомендуется срезать побеги, оставляя только листья. Желательно обеспечить профилактическое укрытие. Растение не выносит избыточного увлажнения, предпочитая сухие и солнечные участки сада.</t>
  </si>
  <si>
    <t>4601729172144</t>
  </si>
  <si>
    <t>Ц Колеус блюме Скарлет (А\ц)</t>
  </si>
  <si>
    <t>Превосходный сорт американской селекции от компании PanAmerican Seed с яркой, декоративной листвой. Используется как многолетнее комнатное растение и как садовый летник. Растет быстро. Отлично удается даже у новичков в цветоводстве. Кусты прямостоячие, ветвистые, высотой 30-35 см. Листья бархатистой фактуры сохраняют насыщенный оттенок в течение всего сезона. Быстрорастущая «крапивка» хорошо смотрится в горшках и контейнерных композициях с другими летниками, на клумбах и в рабатках.</t>
  </si>
  <si>
    <t>4601729168109</t>
  </si>
  <si>
    <t>Ц Колеус Бургундское вино балконный (А/ц)</t>
  </si>
  <si>
    <t>Популярный многолетник иностранной селекции. Используется как многолетнее комнатное растение и как садовый летник. Растение ценится за оригинально окрашенные бархатистые листья. Формирует компактный куст с отличным ветвлением, высотой 30-35 см и шириной 25-30 см. Пышный наряд из пестрых бархатистых листьев станет прекрасным дополнением для цветников, клумб и составления различных композиций.</t>
  </si>
  <si>
    <t>4601729087165</t>
  </si>
  <si>
    <t>Ц Колеус Коралловый восход (комн.) (А\ц)</t>
  </si>
  <si>
    <t>Светолюбивое декоративное растение высотой 30-35 см с мелкими цветками, собранными в сложное соцветие.</t>
  </si>
  <si>
    <t>4601729087134</t>
  </si>
  <si>
    <t>Ц Колеус Красный вельвет (А\ц)</t>
  </si>
  <si>
    <t>Популярное декоративнолиственное растение, которое с равным успехом используется как комнатное и как садовый летник. Невероятно яркие, «попугайные» расцветки, бархатная фактура и разнообразная форма листьев воспринимаются с неизменным восхищением. Листья не выгорают на солнце, их насыщенный цвет сохраняется на протяжении всего сезона. Быстрорастущая «крапивка» хорошо смотрится в контейнерных композициях с другими летниками, в группах, на клумбах, в бордюрах, массивами на рабатках</t>
  </si>
  <si>
    <t>4601729171116</t>
  </si>
  <si>
    <t>Ц Колеус Шоколадный бархат балконный (А/ц)</t>
  </si>
  <si>
    <t>Выращивается как многолетнее комнатное растение и как садовый летник. Ценится за оригинально окрашенные бархатистые листья. Разрез и окраска листьев может меняться в зависимости от времени года, сроков посева и освещенности. Кусты компактные, ветвистые, высотой около 40 см. Цветение позднее. Для продления периода декоративности необходимо удалять цветоносы.</t>
  </si>
  <si>
    <t>4601729123719</t>
  </si>
  <si>
    <t>Ц Колокольчик Фиолетовое сияние (А\ц)</t>
  </si>
  <si>
    <t>Один из самых эффектных колокольчиков. Своим цветением производит неизгладимое впечатление. Очень популярен за крупные яркие цветки ( Ø 6-7 см), большие соцветия и длительное цветение в течение всего сезона. В первый год образует розетки лис тьев, из которых на второй год вырастают мощные цветоносы высотой 70-100 см. Растения светолюбивые, холодостойкие, не выносят застоя воды в почве. Станут украшением любого цветника как в групповой посадке, так и в одиночной. Прекрасно подходит для срезки, цветы стоят в воде до 14 дней. Отличный медонос.</t>
  </si>
  <si>
    <t>4601729075810</t>
  </si>
  <si>
    <t>Ц Кореопсис Рулет (А\ц)</t>
  </si>
  <si>
    <t>Однолетник. Высота растения 70 см. Диаметр цветка 7 см. Высокорослый однолетний кореопсис с необыкновенной окраской соцветий. Формирует стройные, ветвистые кусты с тонкими, прочными стеблями и ажурной листвой. Соцветия одиночные, крупные – O5-7 см, привлекательные для пчел и бабочек. Обильное цветение длится до устойчивых заморозков. Растения неприхотливые, быстрорастущие, легкие в выращивании и уходе. Идеально подходят для оформления цветников и на срезку в букеты. Дают самосев.</t>
  </si>
  <si>
    <t>4601729173103</t>
  </si>
  <si>
    <t>Ц Кохия Красный шар (А/ц)</t>
  </si>
  <si>
    <t>Аккуратный, округлый кустик, похож на карликовое хвойное растение, высотой около 50 см, растет быстро, без особых хлопот. Выдерживает регулярную стрижку. Листья изумрудно-зеленые, с наступлением осени краснеют. Свою декоративность сохраняет на протяжении всего сезона. Используют как фокусное растение на клумбах, для живых изгородей любой конфигурации.</t>
  </si>
  <si>
    <t>4603418000295</t>
  </si>
  <si>
    <t>Ц Кохия Летний кипарис (А/ц)</t>
  </si>
  <si>
    <t>Быстрорастущий декоративно-лиственный однолетник. Густой, стройный куст высотой до 100 см напоминает южный кипарис в миниатюре. Прекрасно выглядит весь сезон. Мягкая, пушистая зелень к осени приобретает яркие карминные и оранжевые оттенки. Растение активно отращивает боковые побеги после стрижки и является благодарным объектом для топиарного искусства (формирование различных фигур путем художественной стрижки). Оформить растения в виде куба, пирамиды, шара и даже спирали вполне по силам для любителя. Кохия рекомендуется для одиночных посадок, небольших групп, живых изгородей разной высоты.</t>
  </si>
  <si>
    <t>4601729172182</t>
  </si>
  <si>
    <t>Ц Лаватера Рубиновая  (А\ц)</t>
  </si>
  <si>
    <t>Эффектный летник с пышным цветением. Формирует сильный, ветвистый куст метровой высоты с обилием ярких цветков O10 см. Хороший медонос, привлекает в сад бабочек и пчел. Неприхотлив – хорошо переносит засуху, холодо- и ветроустойчив, не подвержен болезням, не требователен к почве. Хорошо развивается на солнечных участках, легко переносит небольшое затенение. Цветет до заморозков. Сочетается практически с любыми летниками в оформлении садовых цветников. Дает хорошую срезку, которая не теряет свежести больше недели.</t>
  </si>
  <si>
    <t>4601729152009</t>
  </si>
  <si>
    <t>Ц Лихнис Огонек (А\ц)</t>
  </si>
  <si>
    <t>Долгоцветущий многолетник, покоривший сердца многих садоводов. Прост в уходе и необычайно красив во время цветения. Формирует прочные кустики с многочисленными вертикальными стеблями высотой 70-100 см. На каждом побеге закладывается несколько крупных соцветий, состоящих из цветков 3 см.</t>
  </si>
  <si>
    <t>4601729127656</t>
  </si>
  <si>
    <t>Ц Лобелия Голубая вспышка (А/ц)</t>
  </si>
  <si>
    <t>Изящная, обильноцветущая кустовая лобелия. Кустики компактные, сильно разветвленные, густые, высотой около 15 см и шириной 20 см. Растения образуют плотные и пушистые цветущие шары, в которых практически не просматривается зелень.</t>
  </si>
  <si>
    <t>4601729174728</t>
  </si>
  <si>
    <t>Ц Лобелия каскадная Биколор (А\ц)</t>
  </si>
  <si>
    <t>Эффектная серия ампельного летника с суперобильным цветением. Растения образуют пышные каскады поникающих побегов длиной до 30-35 см. С наступлением лета их украшает множество ярких изящных цветочков диаметром до 1 см. Сорт широко используется для оформления подвесных корзин, балконных ящиков, высоких вазонов. В садовых цветниках приобретает стелющуюся форму. Из ампельной лобелии в открытом грунте получаются красивые бордюры и ковровые композиции.</t>
  </si>
  <si>
    <t>4601729192029</t>
  </si>
  <si>
    <t>Ц Лобелия Квин Виктория, многолетняя (А\ц)</t>
  </si>
  <si>
    <t>Один из самых прекрасных видов лобелии с поистине королевским обликом. Крепкие побеги высотой около 70-75 см украшены узкими красно-коричневыми листьями с глянцевым блеском. Колосовидные соцветия густые и длинные, состоят из множества алых цветков диаметром 2-3 см.Окраска очень насыщенная и стойкая. Такое колоритное свечевидное растение поможет создать выразительный акцент в миксбордере. Прекрасно растет у водоемов. Подходит для выращивания в контейнерах. Сорт дает великолепную срезку – необычные пушистые соцветия преобразят каждый букет. Цветение с 1-го года возможно при раннем посеве через рассаду.</t>
  </si>
  <si>
    <t>4601729019043</t>
  </si>
  <si>
    <t>Ц Лобелия Сапфир ампельная (А\ц)</t>
  </si>
  <si>
    <t>Очаровательное, изящное, обильноцветущее однолетнее растение. Образует компактные кус тики высотой 15-20 см, с многочисленными тонкими побегами, усыпанными массой мелких цветков. По мере роста побеги свешиваются из контейнера или стелются по земле. Растения неприхотливые, холодостойкие, светолюбивые. Используются для ковровых посадок на клумбах, в бордюрах, отлично смотрятся в горшках и балконных ящиках.</t>
  </si>
  <si>
    <t>4601729002052</t>
  </si>
  <si>
    <t>Ц Маргаритка Экстра 0.05гр. (А\ц)</t>
  </si>
  <si>
    <t>Зимостойкий двулетник. Отличается ранним цветением с конца апреля. Если посадки укрывать пленкой ранней весной, то можно добиться суперраннего цветения в первой – второй декаде апреля. Кусти ки компактные, высотой 15 см. Соцветия-корзинки густомахровые, диаметром до 5 см. Маргаритки отлично сочетаются с раннецветущими луковичными – тюльпанами, нарциссами, гиацинтами. Рекомендуются для контейнерной культуры, ковровых и бордюрных посадок в цветниках.</t>
  </si>
  <si>
    <t>4640012530940</t>
  </si>
  <si>
    <t>Ц Молодило Каменистый сад, смесь (А\ц) 182029619</t>
  </si>
  <si>
    <t>Многолетние травянистые растения с мясистыми, цельными, вечнозелеными листьями, собранными в прикорневые розетки до 10 см в диаметре, голыми или опушенными, разнообразной окраски, от светло-красной до темно-зеленой и коричневой. На цветоносных побегах листья редкие, расположены в очередном порядке. Цветки мелкие, правильные, звездчатые или колокольчатые, желтые, белые, розовые, красные, фиолетовые. Очень эффектны в групповых посадках с южной стороны кустарников, в ковровых композициях, на каменистых участках и откосах. Молодила очень хороши в группах из разных сортов и видов на фоне валунов.</t>
  </si>
  <si>
    <t>4601729166679</t>
  </si>
  <si>
    <t>Ц Молочай Горный хрусталь (мн) (А\ц)</t>
  </si>
  <si>
    <t>Один из самых эффектных и элегантных молочаев. Шикарно смотрится как в саду, так и в контейнерной культуре. Образует прямостоячие ветвистые кустики до 80 см в высоту. Во время цветения края верхних листьев белеют, что придаёт растениям неповторимый вид. Декоративен в течение всего сезона до первых заморозков. Хорошо развивается на песчаных, бедных почвах без внесения удобрений. Требует солнечного месторасположения. Подходит для срезки в дополнение к крупноцветковым культурам. Как и все молочаи, сок этих растений может вызвать раздражение на коже, поэтому работы с ними желательно проводить в перчатках.</t>
  </si>
  <si>
    <t>4601729019098</t>
  </si>
  <si>
    <t>Ц Мыльнянка Лунная пыль базиликолистная (А\ц)</t>
  </si>
  <si>
    <t>Неприхотливое,  пышноцветущее  стелющееся  растение. Образует живописные подушки до 15 см в высоту.  Цветки мелкие, ароматные,  собраны в многочисленные соцветия-зонтики. Растения зимостойкие,
солнцелюбивые,  засухоустойчивые,  не  выносят  сырых мест. Цветут очень обильно с июня до августа.</t>
  </si>
  <si>
    <t>4601729144394</t>
  </si>
  <si>
    <t>Ц Настурция Абрикосовый эльф, смесь (А\ц)</t>
  </si>
  <si>
    <t>Однолетник. Красивая вьющаяся настурция из серии гибридов GLEAM (Блеск). Формирует хорошо облиственные побеги длиной около 150 см с эффектными махровыми цветками диаметром 5-6 см. Цветки ароматные. Выращивается на опорах, по которым необходимо направлять плети, или в ампельной культуре. В цветниках растет как почвопокровное растение, приобретая стелющуюся форму. Растения теплолюбивые, обильно цветут до первых заморозков. Предпочитают солнечное местоположение и легкие, дренированные почвы среднего плодородия.</t>
  </si>
  <si>
    <t>4607160508603</t>
  </si>
  <si>
    <t>Ц Настурция Капуцин (А/ц)</t>
  </si>
  <si>
    <t>Кустовая настурция с мраморными листьями и крупными малиновыми цветками диаметром 5 см. Растения однолетние, высотой не более 40 см. Быстро развиваются, формируя аккуратный кустик, пышно украшенный яркими съедобными цветками.</t>
  </si>
  <si>
    <t>4601729143960</t>
  </si>
  <si>
    <t>Ц Настурция Патио, смесь сортов (А/ц)</t>
  </si>
  <si>
    <t>Сочетание всего многообразия оттенков настурции в одной смеси компактных сортов для украшения сада и балкона. Кустики высотой 25-30 см, имеют большое количество изящных, боковых побегов. Цветки  ? 4-5 см пышным облаком покрывают зеленый полог нежных листьев. Цветение длится до наступления устойчивых заморозков. Яркие, нежные цветки и сочные листья настурции – съедобные, обладают целебными свойствами, освежающим вкусом и пряным ароматом.</t>
  </si>
  <si>
    <t>4601729090554</t>
  </si>
  <si>
    <t>Ц Немезия Мантия кардинала 0,1 гр (А/ц)</t>
  </si>
  <si>
    <t>Трудно найти более нарядный сорт немезии, чем МАНТИЯ КАРДИНАЛА. Двуцветные, контрастные цветки диаметром до 2,5см собраны в рыхлые соцветия и обильно украшают сильноветвистые кустики высотой 20-30 см. Цветение раннее и продолжительное, с июня до окончания сезона. Сорт довольно неприхотливый, холодостойкий, светолюбивый. Великолепно смотрится в подвесных корзинах и балконных ящиках, на клумбах и в бордюрах. Удаление потерявших декоративность цветков продлевает цветение.</t>
  </si>
  <si>
    <t>4601729182730</t>
  </si>
  <si>
    <t>Ц Обриета Гранд каскад красная (А\ц)</t>
  </si>
  <si>
    <t>Серия красивоцветущей каскадной обриеты. Это прекрасная почвопокровная многолетняя культура для создания бордюров, украшения каменистых горок и подпорных стенок в саду. Растения высотой около 10 см, диаметром до 40-50 см, зимостойкие. Быстро восстанавливают декоративный облик весной после схода снега и зацветают в мае пышным ковром ярких цветков диаметром 1 см. Обриета незаменима на каждом участке, потому что пик ее цветения приходится на межсезонье (конец весны), когда отцвели первоцветы, а большинство однолетников и многолетников только формируют бутоны.</t>
  </si>
  <si>
    <t>4601729182839</t>
  </si>
  <si>
    <t>Ц Обриета Гранд каскад пурпурная (А\ц)</t>
  </si>
  <si>
    <t>4601729182846</t>
  </si>
  <si>
    <t>Ц Обриета Гранд каскад синяя (А\ц)</t>
  </si>
  <si>
    <t>4601729183140</t>
  </si>
  <si>
    <t>Ц Обриета Гранд каскад смесь (А\ц)</t>
  </si>
  <si>
    <t>4601729122163</t>
  </si>
  <si>
    <t>Ц Обриета Живой ковер, смесь окрасок 0,05г  (А\ц)</t>
  </si>
  <si>
    <t>Крупноцветковая смесь окрасок популярного почвопокровного растения, создающая в саду яркий и красочный ковер. Формирует привлекательные сизоватые куртинки высотой до 20 см, в пору цветения покрытые цветами так, что почти не видно листвы.</t>
  </si>
  <si>
    <t>4601729049767</t>
  </si>
  <si>
    <t>Ц Обриета Фруктовое ассорти, смесь (мн) (А\ц)</t>
  </si>
  <si>
    <t>Многолетник. Высота 10 см. Очень яркая многолетняя почвопокровная смесь со стелющимися стеблями. За счет своих простых, но очень ярких цветков и изумрудных листьев имеет высокую декоративность не только во время цветения, но и в течение всего вегетационного периода. Обриета используют для альпийских горок, каменистых стенок, прекрасно разрастается и с легкостью заполнит промежутки между растениями.</t>
  </si>
  <si>
    <t>4601729185595</t>
  </si>
  <si>
    <t>Ц Очиток красивый Си стар (А\ц)</t>
  </si>
  <si>
    <t>Очаровательный многолетник из семейства Толстянковые. Удивительно красивые соцветия по своей форме напоминают морскую звезду. Очиток (седум) относится к группе ксерофитных суккулентов. Растение генетически приспособлено к выживанию в неблагоприятных условиях среды. Специфические обмен веществ и строение тканей позволяют накапливать запасы влаги и питательных элементов. Сорт декоративен на протяжении всего сезона. Прекрасно растет в горшечной культуре. В саду используется как бордюрное и почвопокровное растение. Великолепно смотрится в альпинариях.</t>
  </si>
  <si>
    <t>4601729165351</t>
  </si>
  <si>
    <t>Ц Пассифлора Кавалерская звезда (А/ц) 396317385</t>
  </si>
  <si>
    <t>Неприхотливая, быстро растущая вечнозеленая лиана. Известна также под названием страстоцвет. Рекомендуется для выращивания в вертикальной и ампельной культуре в комнатах и зимних садах. Побеги длиной 3-4 м имеют красивые резные листья и прочные усы, которыми лиана цепляется за опору – шпалеру или решетку. Крупные цветы экзотического вида напоминают старинный орден и имеют нежный аромат. Цветение длится с апреля по ноябрь. Летом растение можно держать на открытом воздухе, а перед заморозками вернуть в комнату. В южных регионах пассифлора неплохо зимует в открытом грунте с легким укрытием.</t>
  </si>
  <si>
    <t>4601729088179</t>
  </si>
  <si>
    <t>Ц Пеларгония Рафаэлла, смесь (комн) 5 шт.   (А\ц)</t>
  </si>
  <si>
    <t>Новые гибриды РАФАЭЛЛА F1 – образец современной селекции. Их красивые, компактные кусты высотой 30 см хорошо разветвлены, выглядят сильными, густыми, плотными. Венчающие куст пышные шары соцветий O12 см имеют богатую палитру цветов. Гибриды легко и быстро растут из семян – всходы появляются через 1-1,5 недели, зацветают на ранней стадии развития. Применение универсальное: горшечное содержание в комнатах, на солнечных балконах и в качестве летника в садовых цветниках. Растения
устойчивы к жаре; хорошо переносят кратковременные понижения
температуры. При соответствующем уходе (регулярные подкормки
и подсветка в зимнее время) цветут круглый год.</t>
  </si>
  <si>
    <t>4601729039232</t>
  </si>
  <si>
    <t>Ц Персидская ромашка Робинзон, смесь  (А/ц)</t>
  </si>
  <si>
    <t>Многолетняя холодостойкая смесь. Формирует пышные кусты с розетками резных листьев и многочисленными цветоносами высотой до 80 см. Цветёт обильно и красиво, крупными соцветиями диаметром 8-12 см. Хорошо сочетается с маком восточным, дельфиниумом, белым нивяником, колокольчиками, великолепно смотрится с розами. Используется для оформления садовых цветников и на срезку.</t>
  </si>
  <si>
    <t>4601729170539</t>
  </si>
  <si>
    <t>Ц Петуния Александра F1 крупноцветковая (А\ц)</t>
  </si>
  <si>
    <t>Однолетник. Высота 30 см. Диаметр 10 см. Изумительная петуния-пикоти с изящными, очень крупными (Ø9-11 см) контрастными цветками. Кустики компактные, ветвистые, высотой до 30 см, обильно усыпаны цветками с мая до окончания сезона. Гибрид быстрорастущий, неприхотливый, светолюбивый, засухоустойчивый. Хорошо переносит воздействия дождя и ветра не теряя своей декоративности. Неповторимо украсит собой клумбы, рабатки, отлично подходит для выращивания в контейнерах.</t>
  </si>
  <si>
    <t>4601729076909</t>
  </si>
  <si>
    <t>Ц Петуния Анастасия F1 крупноцветковая (А\ц)</t>
  </si>
  <si>
    <t>Яркая, эффектная петуния с крупными контрастными цветками  Ø 8-10 см. Кустики компактные, высотой до 30 см, с хорошим базальным ветвлением, сохраняют декоративность даже в непогоду. Цветки с плотной фактурой венчика, не травмируются дождем и ветром. Цветение обильное и длительное. Подходит для цветников, балконных и садовых контейнеров.</t>
  </si>
  <si>
    <t>4601729170324</t>
  </si>
  <si>
    <t>Ц Петуния Афродита F1 крупноцвет. смесь (А\ц)</t>
  </si>
  <si>
    <t>Уникальный гибрид чешской селекции! Волнисто-бахромчатые цветки насыщенного оттенка  Ø 8-9 см. Вместе выглядят словно пышное кружевное пурпурное облако. Растения кустовые, ветвистые, высотой до 35 см. Не требуют дополнительного формирования кустов. Обильное цветение продолжается вплоть до наступления заморозков. Гибрид рекомендуется для контейнерной культуры и цветников. При выращивании в вазонах образует небольшой каскад.</t>
  </si>
  <si>
    <t>4601729150463</t>
  </si>
  <si>
    <t>Ц Петуния Балконное чудо F1, смесь сортов (А\ц)</t>
  </si>
  <si>
    <t>Не требуют использования регуляторов роста, сохраняют естественную карликовость и не вытягиваются весь период вегетации. Растения прекрасно растут в горшках (не менее 5 л) и достигают высоты всего 15-20 см (в клумбах 20-25 см). При посадке в балконные ящики расстояние между растениями 10-12 см. Цветки крупные, 7-8 см.</t>
  </si>
  <si>
    <t>4601729167850</t>
  </si>
  <si>
    <t>Ц Петуния Букетная крупн. махр. (А/ц)</t>
  </si>
  <si>
    <t>Первая махровая петуния для срезки! Растения прямостоячие, ветвистые, высотой 100-110 см, с прочными стеблями. Цветки очень крупные, Ø 10-14 см. Цветение обильное, раннее и продолжительное. Шикарно смотрится в садовых контейнерах и на клумбах.</t>
  </si>
  <si>
    <t>4601729191435</t>
  </si>
  <si>
    <t>Ц Петуния БУУМ! Эйч Ди F1 Блю многоцветковая 7 шт. (А/ц)</t>
  </si>
  <si>
    <t>Эксклюзивные гибриды многоцветковых компактных петуний. Одна из лучших серий в мире, предназначенных для горшечного выращивания. Растения формируют плотные кустики высотой около 15-20 см и шириной 25-30 см. Генетически прекрасно ветвятся без прищипки, не имеют проплешин в центре, поэтому хорошо заполняют любую посадочную емкость. Для одной петунии достаточно 4-5 л грунта. Гиб риды рано зацветают. Отличаются повышенной устойчивостью к изменениям погоды. Многочисленные цветки (диаметром 5-7 см) сохраняют фактуру и оттенок после ливня, ветра, летнего зноя. В садовых цветниках петуния роскошно выглядит в сольной культуре, рекомендуется высаживать всю палитру окрасок этой серии.</t>
  </si>
  <si>
    <t>4601729191374</t>
  </si>
  <si>
    <t>Ц Петуния БУУМ! Эйч Ди F1 Вайт многоцветковая 7 шт. (А/ц)</t>
  </si>
  <si>
    <t>4601729191381</t>
  </si>
  <si>
    <t>Ц Петуния БУУМ! Эйч Ди F1 Пинк многоцветковая 7 шт. (А/ц)</t>
  </si>
  <si>
    <t>4601729191442</t>
  </si>
  <si>
    <t>Ц Петуния БУУМ! Эйч Ди F1 Ред многоцветковая 7 шт. (А/ц)</t>
  </si>
  <si>
    <t>4601729168543</t>
  </si>
  <si>
    <t>Ц Петуния Водопад Анхель F1 обильноцветущая (А\ц)</t>
  </si>
  <si>
    <t>Восхитительная смесь многоцветковых петуний иностранной селекции. Включает как однотонные окраски, так и “пикоти” (с белой каймой по краю венчика). В зависимости от погодных условий ширина каймы может меняться. Кустики компактные, сильноветвистые, высотой 25-40 см. Цветки покрывают побеги в таком количестве, что листвы почти не видно. Растения неприхотливые, хорошо переносят дождливую и ветреную погоду. Первые бутоны распускаются на стадии рассады, а пышное цветение продолжается до осенних заморозков. Смесь используют для выращивания в садовых контейнерах, балконных ящиках, на клумбах, в бордюрах и рабатках.</t>
  </si>
  <si>
    <t>4601729174193</t>
  </si>
  <si>
    <t>Ц Петуния Водопад Виктория F1 обильноцветущая (А\ц)</t>
  </si>
  <si>
    <t>Однолетник. Высота 45 см. Обильноцветущая петуния Водопад Виктория очаровывает красотой своих крупных (до 7 см в диаметре) атласных цветков. Гармония, рожденная из смеси нежно-лилового, сиреневого и желтого цвета, и чудесный аромат, будет навевать романтические мысли и придаст саду изысканность и нарядность.  Гибрид отличается прекрасным внешним видом, ранним, продолжительным и очень дружным цветением, неприхотливостью и устойчивостью к неблагоприятным погодным условиям. Петуния незаменима в оформлении клумб, бордюров, вазонов, кашпо и балконных ящиков.</t>
  </si>
  <si>
    <t>4601729178238</t>
  </si>
  <si>
    <t>Ц Петуния ВОДОПАДИЯ F1 белая (А/ц)</t>
  </si>
  <si>
    <t>Абсолютный хит! Серия многоцветковых петуний каскадного типа, которая отличается совершенно новой полуампельной формой. Уникальность этих гибридов в том, что новые цветоносные побеги образуются без прищипки в пазухах листьев в середине куста, не оставляя пустот. Растения формируют пышные кус тики, высотой 15-25 см. Поникающие побеги длиной до 70 см,  полностью усыпаны яркими насыщенными цветками Ø 7 см и спускаются восхитительным водопадом. Гибриды устойчивы к повышенным температурам и неблагоприятным погодным условиям. Петунии Водопадия F1® наилучшим образом подходят для подвесных кашпо и корзин.</t>
  </si>
  <si>
    <t>4601729176623</t>
  </si>
  <si>
    <t>Ц Петуния ВОДОПАДИЯ F1 красная (А/ц)</t>
  </si>
  <si>
    <t>Абсолютный хит! Серия многоцветковых петуний каскадного типа, которая отличается совершенно новой полуампельной формой. Уникальность этих гибридов в том, что новые цветоносные побеги образуются без прищипки в пазухах листьев в середине куста, не оставляя пустот. Растения формируют пышные кустики, высотой 15-25 см. Поникающие побеги длиной до 70 см полностью усыпаны яркими, насыщенными цветками диаметром 7 см и спускаются восхитительным водопадом. Гибриды устойчивы к повышенным температурам и неблагоприятным погодным условиям. Петунии ВодопадияF1® наилучшим образом подходят для подвесных кашпо и корзин.</t>
  </si>
  <si>
    <t>4601729168796</t>
  </si>
  <si>
    <t>Ц Петуния ВОДОПАДИЯ F1 синяя (А/ц)</t>
  </si>
  <si>
    <t>Абсолютный хит! Серия многоцветковых петуний каскадного типа, которая отличается совершенно новой полуампельной формой. Уникальность этих гибридов в том, что новые цветоносные побеги образуются без прищипки в пазухах листьев в середине куста, не оставляя пустот. Растения формируют пышные кустики, высотой 15-25 см. Поникающие побеги длиной до 70 см полностью усыпаны яркими насыщенными цветками Ø 7 см и спускаются восхитительным водопадом. Гибриды устойчивы к повышенным температурам и неблагоприятным погодным условиям. Петунии Водопадия F1® наилучшим образом подходят для подвесных кашпо и корзин.</t>
  </si>
  <si>
    <t>4601729173455</t>
  </si>
  <si>
    <t>Ц Петуния Все звезды F1 , многоцв. смесь (А\ц)</t>
  </si>
  <si>
    <t>Однолетник. Высота растения 30 см. Диаметр цветка 7 см.
Подлинный шедевр среди петуний – Все звезды – со слегка поникающими побегами не может не вызывать восхищения! На протяжении всего лета будет раскрывать каскады подернутых розовым туманом соцветий. Цветки отличает мягкая растушевка лепестков. Никакое другое растение в такой степени, как петуния, не подходит для оформления комфортных и романтических уголков для отдыха.</t>
  </si>
  <si>
    <t>4601729184468</t>
  </si>
  <si>
    <t>Ц Петуния Вуаль F1, махров.  обильноцветущая (А\ц)</t>
  </si>
  <si>
    <t>Обильноцветущая петуния с великолепными 100 % махровыми цветками. Кустики компактные, высотой до 45 см. Хорошо разветвленные, усыпанные  крупными  цветками 6-8 см.</t>
  </si>
  <si>
    <t>4601729190957</t>
  </si>
  <si>
    <t>Ц Петуния Глориоза F1, смесь крупноцв. махровая  10шт.  (А\ц)</t>
  </si>
  <si>
    <t>100% махровая. Смесь включает гибриды с густомахровыми цветками Ø 10-12 см. Ткань лепестков плотная, цветки устойчивы к травмированию дождями и сильным ветром. Кусты компактные, формируют побеги длиной 40 см, красиво спадающие через края контейнеров. Растения отличаются крепким здоровьем, хорошо переносят экстремальную жару и резкие перепады температуры. ГЛОРИОЗА – рекордсмен среди махровых петуний по обилию и длительности цветения. Достойное украшение садовых и балконных цветников.</t>
  </si>
  <si>
    <t>4601729152207</t>
  </si>
  <si>
    <t>Ц Петуния Городская F1 лазурит (А\ц)</t>
  </si>
  <si>
    <t>Серия многоцветковой карликовой петунии. За счет укороченных междоузлий и отличному боковому ветвлению кустики генетически приобрели плотную шаровидную форму. При выращивании в ограниченном объеме грунта высота растений составляет 10-20 см, в садовых цветниках – не более 25 см. Ширина растений 25-30 см. Цветки поразительно крупные для карликовых гибридов –  8-9 см.</t>
  </si>
  <si>
    <t>4601729167928</t>
  </si>
  <si>
    <t>Ц Петуния Двойной каскад F1 валентина (А\ц)</t>
  </si>
  <si>
    <t>100% махровая крупноцветковая петуния американской селекции. Взрослые растения в открытом грунте формируют кусты высотой 25-40 см и шириной 25-30 см. Цветки диаметром 8-9 см не теряют декоративности при неблагоприятных погодных условиях. Цветение раннее и продолжительное. Гибрид наилучшим образом подходит для украшения клумб, рабаток, бордюров. Отлично смотрится в больших контейнерах и смешанных посадках в кашпо.</t>
  </si>
  <si>
    <t>4601729175091</t>
  </si>
  <si>
    <t>Ц Петуния Дуо Классика F1 многоцв. махров., смесь окрасок (А\ц)</t>
  </si>
  <si>
    <t>100% махровая специальная смесь двух кустовых гибридов от компании PanAmerican Seed (США). Объемные кусты высотой 25-40 см цветут обильно и непрерывно в течение всего сезона. Цветки немного меньше размером, чем крупоцветковые петунии, диаметром 5-6 см, но на кусте их значительно больше. Волнистые лепестки сложены неплотно, влага в цветках не задерживается, поэтому они практически не страдают от дождей. Расцветки подобраны в одной цветовой гамме на основе игры света и тени, теплого и холодного. Смесь рекомендуется для оформления балконных контейнеров, кашпо, садовых вазонов и цветников открытого грунта.</t>
  </si>
  <si>
    <t>4601729170553</t>
  </si>
  <si>
    <t>Ц Петуния Дуо Сатин махровая  F1  (А\ц)</t>
  </si>
  <si>
    <t>Серия «Дуо F1» – это многоцветковые петунии американской селекции раннего срока цветения. Растения прямостоячие, крепкие, хорошо кустятся. Их габитус достаточно компактный: высота 25-40 см, ширина 25-30 см. Цветки махровые, диаметром 5-6 см. Цветение обильное. По сравнению с крупноцветковыми, этот гибрид более устойчив к дождям. Отлично подходит для контейнерного выращивания и оформления цветников открытого грунта. Хорошо удается даже у новичков цветоводства.</t>
  </si>
  <si>
    <t>4601729170348</t>
  </si>
  <si>
    <t>Ц Петуния Дуо Фруктовый сорбет F1 многоцв. махр, смесь окрасок (А\ц)</t>
  </si>
  <si>
    <t>100% махровая смесь трех неприхотливых гибридов американской селекции. Симпатичные махровые цветочки  Ø 5-6 см напоминают миниатюрные пирожные. Цветки немного меньше размером, чем крупноцветковые петунии, но на кусте их значительно больше. Волнистые лепестки сложены неплотно, влага в цветках не задерживается, поэтому они практически не страдают от дождей. Объемные кусты высотой 25-35 см цветут очень щедро и непрерывно в течение всего сезона.</t>
  </si>
  <si>
    <t>4601729173875</t>
  </si>
  <si>
    <t>Ц Петуния Елена Прекрасная многоцвет (А\ц)</t>
  </si>
  <si>
    <t>Однолетник.Высота 35 см.Диаметр 6 см.Улучшенный тип гибридной низкорослой многоцветковой петунии. Растение стало более компактным, а количество цветков увеличилось вдвое. Цветки крупные, с яркой звездой в центре. Обильное и продолжительное цветение, невзыскательность к внешним условиям и быстрый рост делают это растение незаменимым для балконов, подвесных кашпо и корзин. Отличительной особенностью является устойчивость к жаре, дождю и ветру.</t>
  </si>
  <si>
    <t>4601729168116</t>
  </si>
  <si>
    <t>Ц Петуния Звездный мрамор F1, смесь (А\ц)</t>
  </si>
  <si>
    <t>Великолепная смесь многоцветковых петуний иностранной селекции! Растения компактные, высотой 25-40 см и диаметром 20-30 см, сохраняют аккуратный внешний вид в течение всего сезона. В период массового цветения кусты покрываются огромным количеством привлекательных цветков,  диаметром 6-7 см. Гибриды стойко переносят капризы непогоды. Смесь эффектно смотрится в массовых посадках, подходит для контейнеров и балконных ящиков.</t>
  </si>
  <si>
    <t>4601729170546</t>
  </si>
  <si>
    <t>Ц Петуния Кашемир F1,  обильноцв. махр. 5 шт.  (А\ц)</t>
  </si>
  <si>
    <t>Многоцветковая петуния иностранной селекции с эффектными махровыми цветками диаметром 5-7 см. Кустики компактные, ветвистые, высотой 25-40 см. Растения в целом и каждый цветок в отдельности хорошо переносят воздействие дождя и ветра. Не утрачивают роскошную декоративность и насыщенный оттенок. Прекрасно смотрятся на клумбах, в бордюрах и балконных ящиках. Отлично украсят садовые вазоны.</t>
  </si>
  <si>
    <t>4601729173882</t>
  </si>
  <si>
    <t>Ц Петуния Клубника со сливками F1, крупноцв.  ампельная смесь 10шт.  (А\ц)</t>
  </si>
  <si>
    <t>Гибриды из серии «Лавина» – прорыв в селекции петуний последних лет от компании Cerny (Чехия). Первая серия из группы ампельных, которая размножается семенами и с успехом конкурирует по богатству цветения с размножаемыми вегетативно. Побеги длиной до 60 см, сильноветвистые, обильно усыпаны цветками  ? 7-9 см по всей длине. Цветение раннее и продолжительное, с мая до заморозков. Растения светолюбивые, устойчивые к воздействию ветра и дождя. Великолепно смотрятся в висячих корзинах, кашпо и балконных ящиках.</t>
  </si>
  <si>
    <t>4601729172267</t>
  </si>
  <si>
    <t>Ц Петуния Клюква в сахаре F1 крупноцветковая, смесь сортов 10шт.  (А\ц)</t>
  </si>
  <si>
    <t>Крупные цветки и обильное цветение весь сезон! Яркая смесь гибридов иностранной селекции для озеленения сада и украшения балкона. Растения крепкие, с отличным ветвлением, высотой и шириной около 30-40 см. Зацветают очень рано. На протяжении лета побеги усыпаны большим количеством цветков, диаметр которых может достигать 13 см! Для выращивания одного растения требуется горшок диаметром не менее 10 см.</t>
  </si>
  <si>
    <t>4601729175107</t>
  </si>
  <si>
    <t>Ц Петуния Княжна F1, смесь многоцв. 7 шт. (А\ц)</t>
  </si>
  <si>
    <t>Кусты высотой 30-35 см, сильно ветвящиеся, обильно цветущие. Цветки некрупные, Ø 5-6 см. К преимуществам смеси можно отнести активный, быстрый рост и устойчивость к комплексу болезней культуры. В смесь входят окраски: сиреневая – 30%, красная – 30%, фиолетовая – 40%..</t>
  </si>
  <si>
    <t>4601729168833</t>
  </si>
  <si>
    <t>Ц Петуния Комплиментуния F1 арлекино (А/ц)</t>
  </si>
  <si>
    <t>Комплиментуния F1® – стильное, эффектное и очень изящное растение. Это романтичный, практичный выбор и комплимент на языке цветов. Комплиментуния F1®  – эксклюзивный гибрид (новая петуния) с крупными цветками и суперобильным цветением. Украсит любой цветник и будет долго дарить радость и восхищение. Благодаря наличию гена мужской стерильности семян не завязывает, направляя всю энергию на формирование новых цветков. Форма растений кустовая, со склонностью к трейлингу: ширина больше высоты. Высота 20-25 см, ширина 25-30 см. Быстро разрастается. Растения устойчивы к болезням, выдерживают дождливую и ветреную погоду, переносят кратковременные заморозки до –5°С и экстремальную жару до +40°С без потери декоративности.</t>
  </si>
  <si>
    <t>4601729175763</t>
  </si>
  <si>
    <t>Ц Петуния Кружевница F1, крупноцв. бахром. смесь 10шт. (А\ц)</t>
  </si>
  <si>
    <t>Красивейший гибрид с роскошными крупными цветками. Кусты плотные, компактные, высотой 30-35 см. При выращивании в цветочных горшках они образуют небольшие каскады. Цветки Ø 8-9 см с уникальной формой венчика, одновременно волнистой и бахромчатой. Растения легко переносят неблагоприятные климатические условия, цветут обильно и долго. Они станут истинным украшением балконов, уличных подоконников, декоративных контейнеров и различных солнечных уголков сада. В смесь входят окраски: белая – 25%, красная – 25%, розовая – 25%, сиреневая – 25%.</t>
  </si>
  <si>
    <t>4601729182075</t>
  </si>
  <si>
    <t>Ц Петуния Летние мелодии F1 крупноцветковая махровая, смесь окрасок (А/ц)</t>
  </si>
  <si>
    <t>100% махровая! Очаровательная смесь крупно- и многоцветковых петуний иностранной селекции с нежными цветками диаметром 5-9 см. Кустики хорошо разветвленные, опрятной формы, высотой 25-40 см и шириной 25-30 см. Цветение очень обильное, на протяжении всего сезона. Цветки проявляют устойчивость к дождю и ветру, сохраняя оттенок и фактуру лепестков. Растения неприхотливые, жаростойкие, светолюбивые. Шикарно смотрятся в садовых контейнерах, балконных ящиках и кашпо. Станут незаменимым украшением клумб и рабаток.</t>
  </si>
  <si>
    <t>4601729175169</t>
  </si>
  <si>
    <t>Ц Петуния Летний звездопад F1, амп. смесь 10шт. (А\ц)</t>
  </si>
  <si>
    <t>Однолетник.Высота 60 см.Диаметр цветка 7 см.Гибрид из серии «Лавина», которую можно считать прорывом в селекции петуний последних лет. Единственная серия из группы балконных (пендула), которая размножается семенами, с успехом конкурируя по богатству цветения с размножаемыми вегетативно. Звездный рисунок гибрида подчеркивает его звездный статус в вертикальном озеленении: он исключительно привлекателен в высоких садовых контейнерах, подвесных кашпо, балконных ящиках.</t>
  </si>
  <si>
    <t>4601729134197</t>
  </si>
  <si>
    <t>Ц Петуния Лимбо F1 белая крупноцветковая (А/ц)</t>
  </si>
  <si>
    <t>Карликовая петуния «Лимбо» представляет собой компактный куст высотой 10–15 см при выращивании в горшке и 15–20 см — в саду. Он покрыт огромными соцветиями яркой окраски.</t>
  </si>
  <si>
    <t>4601729180033</t>
  </si>
  <si>
    <t>Ц Петуния Лимбо F1 виолет пикоти крупноцветковая (А/ц)</t>
  </si>
  <si>
    <t>Фантастическое сочетание компактных кустиков и гигантских цветков  диаметром 10-12 см! В ограниченном объеме горшков и вазонов эти петунии голландской селекции от компании Hem Genetics вырастают не выше 10-15 см. На клумбах высота может достигать 25 см при ширине 25-30 см. Растения хорошо ветвятся, а укороченные междоузлия не позволяют кустикам оголяться в середине. Зацветают очень рано. Для более пышного цветения рекомендуется регулярно подкармливать посадки комплексным удобрением и убирать старые цветки.</t>
  </si>
  <si>
    <t>4601729134227</t>
  </si>
  <si>
    <t>Ц Петуния Лимбо F1 синяя крупноцветковая (А/ц)</t>
  </si>
  <si>
    <t>4601729134234</t>
  </si>
  <si>
    <t>Ц Петуния Лимбо F1 фиолетовая крупноцветковая (А/ц)</t>
  </si>
  <si>
    <t>4601729127175</t>
  </si>
  <si>
    <t>Ц Петуния Мамбо F1 белая многоцветковая (А/ц)</t>
  </si>
  <si>
    <t>Отличная серия генетически низкорослых, обильно цветущих гибридов от компании Hem Genetics (Нидерланды). Высота взрослых растений от 15 см (в горшках) до 25 см (о/г). Применять регуляторы роста не нужно. Компактные кусты цветут удивительно крупными для карликов цветками диаметром 8-9 см и выглядят роскошными цветущими шарами. Декоративность серии не страдает и в ненастную погоду. Кустики стабильно сохраняют привлекательный вид, не вытягиваются. Серия пригодна для воплощения любых дизайнерских проектов при оформлении цветников открытого грунта, балконов, патио, уличных контейнеров.</t>
  </si>
  <si>
    <t>4601729127199</t>
  </si>
  <si>
    <t>Ц Петуния Мамбо F1 бургунди многоцветковая (А/ц)</t>
  </si>
  <si>
    <t>Отличная серия генетически низкорослых обильноцветущих гибридов от компании HemGenetics (Нидерланды). Высота взрослых растений от 15 см (в горшках) до 25 см (о/г). Применять регуляторы роста не нужно. Компактные кусты цветут удивительно крупными для карликов цветками  диаметром 8-9 см и выглядят роскошными цветущими шарами. Декоративность серии не страдает и в ненастную погоду. Кустики стабильно сохраняют привлекательный вид, не вытягиваются. Серия пригодна для воплощения любых дизайнерских проектов при оформлении цветников открытого грунта, балконов, патио, уличных контейнеров.</t>
  </si>
  <si>
    <t>4601729127120</t>
  </si>
  <si>
    <t>Ц Петуния Мамбо F1 красная многоцветковая (А/ц)</t>
  </si>
  <si>
    <t>4601729127113</t>
  </si>
  <si>
    <t>Ц Петуния Мамбо F1 красное утро многоцветковая (А/ц)</t>
  </si>
  <si>
    <t>Ценная серия генетически низкорослых, обильно цветущих гибридов. Высота взрослых растений от 15 см (в горшках) до 25 см (о/г). Применять регуляторы роста не нужно. Компактные кусты цветут парадоксально крупными для карликов цветками  Ø 8-9 см и выглядят роскошными цветущими шарами. Декоративность серии не страдает в ненастную погоду. Кустики стабильно сохраняют привлекательный вид, не вытягиваются.</t>
  </si>
  <si>
    <t>4601729160097</t>
  </si>
  <si>
    <t>Ц Петуния Мамбо F1 лазурный берег (А/ц)</t>
  </si>
  <si>
    <t>Отличная серия генетически низкорослых, обильноцветущих гибридов от компании Hem Genetics (Нидерланды). Высота взрослых растений от 15 см (в горшках) до 25 см (о/г). Применять регуляторы роста не нужно. Компактные кусты цветут удивительно крупными для карликов цветками  диаметром 8-9 см и выглядят роскошными цветущими шарами. Декоративность серии не страдает и в ненастную погоду. Кустики стабильно сохраняют привлекательный вид, не вытягиваются. Серия пригодна для воплощения любых дизайнерских проектов при оформлении цветников открытого грунта, балконов, патио, уличных контейнеров.</t>
  </si>
  <si>
    <t>4601729160103</t>
  </si>
  <si>
    <t>Ц Петуния Мамбо F1 небесно-голубая многоцветковая (А/ц)</t>
  </si>
  <si>
    <t>Отличная серия генетически низкорослых, обильноцветущих гибридов от компании Hem Genetics (Нидерланды). Высота взрослых растений от 15 см (в горшках) до 25 см (о/г). Применять регуляторы роста не нужно. Компактные кусты цветут удивительно крупными для карликов цветками диаметром 8-9 см и выглядят роскошными цветущими шарами. Декоративность серии не страдает и в ненастную погоду. Кустики стабильно сохраняют привлекательный вид, не вытягиваются. Серия пригодна для воплощения любых дизайнерских проектов при оформлении цветников открытого грунта, балконов, патио, уличных контейнеров.</t>
  </si>
  <si>
    <t>4601729160110</t>
  </si>
  <si>
    <t>Ц Петуния Мамбо F1 орхидея (А/ц)</t>
  </si>
  <si>
    <t>4601729127137</t>
  </si>
  <si>
    <t>Ц Петуния Мамбо F1 розовая с прожилками многоцв (А/ц)</t>
  </si>
  <si>
    <t>Ценная серия генетически низкорослых, обильно цветущих гибридов. Высота взрослых растений от 15 см (в горшках) до 25 см (о/г). Применять регуляторы роста не нужно. Компактные кусты цветут парадоксально крупными для карликов цветками  Ø 8-9 см и выглядят роскошными цветущими шарами.</t>
  </si>
  <si>
    <t>4601729127151</t>
  </si>
  <si>
    <t>Ц Петуния Мамбо F1 синяя многоцветковая (А/ц)</t>
  </si>
  <si>
    <t>Отличная серия генетически низкорослых, обильноцветущих гибридов от компании Hem Genetics (Нидерланды). Высота взрослых растений 15-25 см. Применять регуляторы роста не нужно. Компактные кусты цветут удивительно крупными для карликов цветками  ? 8-9 см и выглядят роскошными цветущими шарами. Декоративность серии не страдает и в ненастную погоду. Кустики стабильно сохраняют привлекательный вид, не вытягиваются.</t>
  </si>
  <si>
    <t>4601729076916</t>
  </si>
  <si>
    <t>Ц Петуния Мария F1 крупноцветковая (А/ц)</t>
  </si>
  <si>
    <t>Превосходная петуния с ярким и эффектным цветением от компании Farao (Италия). Кустики компактные, высотой до 30 см, с хорошим базальным ветвлением, не разваливаются и не оголяются в центре. Цветки крупные,  ? 9-10 см, со стабильным белым кантом, который придаёт им нарядность и торжественность. Фактура венчика более плотная, чем у других крупноцветковых петуний, и благодаря этому, цветки более устойчивы к непогоде. Цветение обильное и продолжительное.</t>
  </si>
  <si>
    <t>4601729117046</t>
  </si>
  <si>
    <t>Ц Петуния Марко Поло F1 мятный лайм (А/ц)</t>
  </si>
  <si>
    <t>Уникальный гибрид от итальянской компании Farao с чрезвычайно обильным цветением. Выигрышно отличается от других петуний редким активным ветвлением: из пазухи каждого листа образуется побег, поэтому середина куста никогда не бывает пустой. Гибрид формирует растения высотой 20-30 см с мощными, хорошо ветвящимися побегами и крупными цветками Ø 8-10 см. В условиях средней полосы кустики достигают в ширину 50-60 см, а при хорошем уходе вырастают значительно большего размера. Гибрид отличается высокой устойчивостью к повышенным температурам и неблагоприятным погодным условиям. Он идеально подходит для выращивания в кашпо, подвесных корзинах, украсит клумбы и рабатки.</t>
  </si>
  <si>
    <t>4601729186493</t>
  </si>
  <si>
    <t>Ц Петуния Морозные узоры крупноцв (А\ц)</t>
  </si>
  <si>
    <t>Однолетник. Белоснежная ампельная петуния с обильнейшим цветением и необыкновенно крупными, ароматными цветками O 7-9 см. Молодые растения прямостоящие. Со временем нарастающие побеги свешиваются и образуют шикарные каскады до 60 см длиной. Растения отлично смотрятся в висячих корзинах, высоких вазонах и балконных ящиках. Хорошо растут на клумбах как почвопокровники.</t>
  </si>
  <si>
    <t>4601729043475</t>
  </si>
  <si>
    <t>Ц Петуния Огонь,  многоцветковая  0,1г (А\ц)</t>
  </si>
  <si>
    <t>Многоцветковая компактная петуния. Кусты хорошо разветвленные, плотные, высотой до 30 см. Цветки диаметром 4-6 см. Растет быстро, зацветает уже на стадии рассады. Не теряет декоративности в ненастную погоду. Рекомендуется для ковровых и бордюрных посадок, оформления кашпо и балконных ящиков.</t>
  </si>
  <si>
    <t>4601729181023</t>
  </si>
  <si>
    <t>Ц Петуния Ольга F1 крупноцветковая (А/ц)</t>
  </si>
  <si>
    <t>Превосходная новинка популярнейшего летника. Крупноцветковая (10 см в диаметре) петуния-пикоти - выделяется бархатом глубокого бургундского оттенка в обрамлении благородного белого. Компактные кустики высотой 30 см, сплошь покрытые эффектными цветками.</t>
  </si>
  <si>
    <t>4601729173400</t>
  </si>
  <si>
    <t>Ц Петуния Пикоти Бургунди F1 (А\ц)</t>
  </si>
  <si>
    <t>Одна из самых нарядных кустовых многоцветковых петуний серии Candy от итальянской компании Farao с потрясающими контрастными цветками диаметром 6-8 см. Компактные, пушистые кустики высотой 20-30 см устойчивы к неблагоприятным погодным условиям и болезням. Быстро восстанавливаются после дождя и обильного полива, прекрасно переносят жару, не теряя своей декоративности. Отличный выбор для балконных контейнеров, смешанных садовых клумб, рабаток, а также для оформления изысканных бордюров вдоль дорожек.</t>
  </si>
  <si>
    <t>4601729177682</t>
  </si>
  <si>
    <t>Ц Петуния Пикоти красная F1 многоцветковая (А/ц)</t>
  </si>
  <si>
    <t>Одна из самых нарядных кустовых, обильноцветущих петуний серии Candy от итальянской компании Farao с потрясающими контрастными цветками Ø 6-8 см. Компактные, пушистые кустики высотой 15-25 см высокоустойчивы к неблагоприятным погодным условиям и болезням. Быстро восстанавливаются после дождя и обильного полива, прекрасно переносят жару, не теряя своей декоративности. Отличный выбор для балконных контейнеров, смешанных садовых клумб, рабаток, а также для оформления изысканных бордюров вдоль дорожек.</t>
  </si>
  <si>
    <t>4601729181030</t>
  </si>
  <si>
    <t>Ц Петуния Пикоти Роза F1 многоцветковая (А/ц)</t>
  </si>
  <si>
    <t>Одна из самых нарядных кустовых многоцветковых петуний от итальянской компании Farao (серия Candy) с потрясающими контрастными цветками диаметром 6-8 см. Пушистые кустики высотой 20-30 см устойчивы к неблагоприятным погодным условиям и болезням. Быстро восстанавливаются после дождя и обильного полива, прекрасно переносят жару, не утрачивая декоративность. Отличный выбор для балконных контейнеров, смешанных садовых клумб, рабаток, а также для оформления изысканных бордюров вдоль дорожек.</t>
  </si>
  <si>
    <t>4601729186899</t>
  </si>
  <si>
    <t>Ц Петуния Праздничный триколор F1 крупноцв. махр, смесь окрасок (А\ц)</t>
  </si>
  <si>
    <t>100% махровая! Шикарная смесь петуний с пышным и продолжительным цветением. Изумительные крупные цветки  Ø 8-9 см похожи на гвоздики и очаровывают своим совершенством. Кустики густоветвистые, высотой 30-40 см и шириной до 30 см. Многочисленные побеги образуют небольшие каскады, свешиваясь через края контейнера.</t>
  </si>
  <si>
    <t>4601729175053</t>
  </si>
  <si>
    <t>Ц Петуния Прима F1 многоцв махровая (А/ц)</t>
  </si>
  <si>
    <t>100% махровый многоцветковый гибрид петунии иностранной селекции. Компактные кусты хорошо ветвятся, создавая эффектный цветущий шар высотой 30-35 см и шириной 25-30 см. Цветки насыщенного оттенка, диаметром 5-7 см. Растения устойчивы к дождям и сильным ветрам. Отлично смотрятся в парадных цветниках, в кашпо и балконных контейнерах.</t>
  </si>
  <si>
    <t>4601729173547</t>
  </si>
  <si>
    <t>Ц Петуния Ред пируэт F1, крупноцв. махр. 5 шт. (А\ц)</t>
  </si>
  <si>
    <t>Совершенно новый гибрид петунии на мировом цветочном рынке. Форма растения на любой стадии развития напоминает звезду. Тонкие, ниспадающие побеги усыпанные цветками стремятся строго в стороны и достигают до 1 м в длину.Цветки ( Ø 4-5 см) благодаря гену мужской стерильности семян не завязывают. При выращивании в цветниках ширина каждого куста достигает не менее 1,5 м. Гибрид устойчив к повышенным и пониженным температурам. Цветет с мая по октябрь.</t>
  </si>
  <si>
    <t>4601729038341</t>
  </si>
  <si>
    <t>Ц Петуния Роза махровая многоцвет. F1  (А\ц)</t>
  </si>
  <si>
    <t>100% махровая многоцветковая петуния из серии DUO от компании PanAmerican Seed. Цветение раннее и продолжительное, с весны до глубокой осени. Компактные, крепкие, хорошо ветвящиеся кустики, в открытом грунте высотой* 25-40 см и сплошь усыпаны цветками диаметром 5-7 см. Куст в целом, и каждый цветок в отдельности хорошо противостоят непогоде и не теряют своей декоративности под воздействием дождя и ветра. Неповторимо украсят своим праздничным видом клумбы, рабатки, подвесные корзины и балконные ящики.</t>
  </si>
  <si>
    <t>4601729131417</t>
  </si>
  <si>
    <t>Ц Петуния Роскошная F1 крупноцв. махр., смесь окрасок (А\ц)</t>
  </si>
  <si>
    <t>Огромные супермахровые цветки! Смесь представлена двумя великолепными гибридами американской селекции. Оба имеют пышные цветки диаметром от 8 до 12 см. Лепестки у Красного Пируэта бахромчатые, изрезанные, у Дабл Каскада ровные, волнистые. Растения кустовые, с хорошим ветвлением, высотой 25-35 см, шириной 25-30 см. В смесь входят окраски: красно-белая – 50%, синяя – 50%.</t>
  </si>
  <si>
    <t>4601729173295</t>
  </si>
  <si>
    <t>Ц Петуния Роуз пируэт F1 крупноцветковая махровая (А\ц)</t>
  </si>
  <si>
    <t>Эффектный гибрид американской селекции. Нежные густомахровые цветки с бахромчатым краем поражают своим размером – около 7-9 см в диаметре! Свежесть и яркость их окраски сохраняется длительное время. Растения крепкие, компактные, высотой 25-40 см, привлекательно выглядят на любой стадии своего развития. Гибрид используется для оформления цветников, вазонов, балконных контейнеров.</t>
  </si>
  <si>
    <t>4601729172397</t>
  </si>
  <si>
    <t>Ц Петуния Русалочка крупноцветковая (А\ц)</t>
  </si>
  <si>
    <t>Однолетник.Высота 40 см.Диаметр цветка 12 см.100% густомахровая петуния с очень крупными(Ø10-13 см) цветками. Массовое цветение начинается на2-4 недели раньше чем у других махровых сортов, и продолжается до глубокой осени. Цветки устойчивы к непогоде, сохраняют свою декоративность не смотря на дождь и ветер. Куст компактный, высотой до40 см. Отлично смотрится на клумбах, в контейнерах, подвесных корзинах и кашпо.</t>
  </si>
  <si>
    <t>4601729043451</t>
  </si>
  <si>
    <t>Ц Петуния Снежный шар многоцвет. (А\ц)</t>
  </si>
  <si>
    <t>Однолетник.Высота растения 30 см.Диаметр цветка 5 см.  Отличается устойчивостью к жаре, дождю и ветру.</t>
  </si>
  <si>
    <t>4601729170294</t>
  </si>
  <si>
    <t>Ц Петуния Страусово перо F1 махровая, смесь (А/ц)</t>
  </si>
  <si>
    <t>100% махровая смесь гибридов прекрасных петуний иностранной селекции. При выращивании в горшечной культуре ветвистые и прочные стебли длиной до 40 см спадают изящными каскадами через края контейнеров. На протяжении всего лета гибкие побеги украшены нежными и пышными цветками диаметром около 7-8 см. Смесь отлично подходит для подвесных корзин, садовых вазонов и балконных ящиков.</t>
  </si>
  <si>
    <t>9180231</t>
  </si>
  <si>
    <t>Ц Петуния суперкаскадная белая (А\ц)</t>
  </si>
  <si>
    <t>Характеризуется более ранним началом цветения и более длительным периодом цветения по сравнению с другими петуниями, в процессе цветения образует каскады цветков на поникающих стеблях.</t>
  </si>
  <si>
    <t>4601729173950</t>
  </si>
  <si>
    <t>Ц Петуния суперкаскадная синяя (А\ц)</t>
  </si>
  <si>
    <t>Популярная серия ярких и обильноцветущих петуний американской селекции. Кусты высотой 25-40 см, с поникающими побегами длиной до 45 см. Цветки крупные, диаметром 10-13 см. Гибрид неприхотливый, устойчив к неблагоприятным погодным условиям, растет быстро. Идеально подходит для выращивания в подвесных корзинах, бал конных ящиках и высоких садовых вазах.</t>
  </si>
  <si>
    <t>4601729179037</t>
  </si>
  <si>
    <t>Ц Петуния Татьяна F1 крупноцвет. (А\ц)</t>
  </si>
  <si>
    <t>Нарядный гибрид раннего и обильного цветения. Растет быстро, зацветает на стадии рассады. Кустики компактные, с хорошим базальным ветвлением, высотой до 30 см. Цветки крупные, диаметром 8-10 см, со стабильным белым кантом. Отличаются плотной фактурой венчика, поэтому хорошо противостоят непогоде и не теряют декоративность из-за дождя и ветра. Прекрасно подходят для кашпо и балконных ящиков, отлично смотрятся на клумбах и в рабатках.</t>
  </si>
  <si>
    <t>4601729184956</t>
  </si>
  <si>
    <t>Ц Петуния Тафта F1, обильноцв. (А\ц)</t>
  </si>
  <si>
    <t>100% махровый гибрид обильноцветущей петунии иностранной селекции. Формирует хорошо ветвящийся кустик высотой 25-40 см, шириной 25-30 см, с крепкими побегами. Роскошные цветки диаметром 6-8 см почти полностью скрывают листву. Растения сравнительно неприхотливые и очень декоративные. Рекомендуются для выращивания в кашпо, балконных контейнерах, в ковровых посадках на клумбах и в бордюрах.</t>
  </si>
  <si>
    <t>4601729169328</t>
  </si>
  <si>
    <t>Ц Петуния Тритуния синяя (А/ц)</t>
  </si>
  <si>
    <t>Серия классических крупноцветковых гибридов. Преимущества данной серии – великолепный внешний вид, раннее цветение и выравненность по габитусу. Растения компактные, ветвистые, высотой 20-25 см, активно растут и развиваются. Соцветия крупные, яркие и широко раскрытые, диаметром 8-10 см. Гибриды замечательно восстанавливаются после дождя и ветра. Наилучшим образом подходят для выращивания в клумбах и цветниках. Отлично растут в горшках, вазонах и балконных ящиках.</t>
  </si>
  <si>
    <t>4601729170263</t>
  </si>
  <si>
    <t>Ц Петуния Триумфатор  крупноцв. (А\цв)</t>
  </si>
  <si>
    <t>100% махровая! Эффектная раннецветущая смесь иностранной селекции с крупными цветками (диаметром 7-9 см) разных окрасок. Кустики пышные, ветвистые, высотой до 40 см. Растения неприхотливые, не теряют своей декоративности под воздействием дождя и ветра. Отлично смотрятся на клумбах, в бордюрах, в подвесных корзинах, кашпо и садовых вазонах.</t>
  </si>
  <si>
    <t>4601729131899</t>
  </si>
  <si>
    <t>Ц Петуния Фиолетовый поток F1 (А\ц)</t>
  </si>
  <si>
    <t>Самые неприхотливые петунии чешской селекции! Великолепно подходят для балконного цветоводства. Без всякой формировки растения постепенно превращаются в аккуратные округлые кустики высотой 30-35 см. Яркие цветы  Ø до 7 см распускаются один за другим. Их просто море! Петунии отлично выносят все невзгоды: и дождь, и ветер, и жару. Эффектно смотрятся как в цветнике, так и в балконных ящиках, и в вазонах на патио. Гармоничное сочетание оттенков придаст любому уголку праздничный вид! Растения будут сохранять декоративность вплоть до первых осенних заморозков.</t>
  </si>
  <si>
    <t>4601729169038</t>
  </si>
  <si>
    <t>Ц Петуния Фламенко многоцветковая махр., смесь (А/ц)</t>
  </si>
  <si>
    <t>100% махровая смесь многоцветковых петуний. Удачно подобранные расцветки привлекают гармоничным контрастом. Кустики крепкие, компактные, хорошо ветвящиеся, высотой 25-40 см. Махровые цветки диаметром 6-7 см непрерывно формируются на кустах на протяжении всего сезона. Гибриды устойчивы к ненастной погоде. Стабильно держат высокий уровень декоративности до заморозков. Смесь рекомендуется для оформления балконных контейнеров и цветников в саду.</t>
  </si>
  <si>
    <t>4601729175749</t>
  </si>
  <si>
    <t>Ц Петуния Фруктовый салат F1 ампельная крупноцветковая смесь (А/ц)</t>
  </si>
  <si>
    <t>Ампельная петуния нового поколения от чешской компании ?ern? с крупными цветками диаметром 7-8 см. Они густо покрывают ниспадающие побеги длиной 70-80 см. Комбинация потрясающих расцветок и щедрое цветение гибридов обеспечат привлекательный вид любому садовому цветнику на протяжении всего сезона. Можно выращивать как почвопокровную культуру, не загущая при этом посадки. Украшать вазоны и подвесные кашпо.</t>
  </si>
  <si>
    <t>4601729168772</t>
  </si>
  <si>
    <t>Ц Петуния Хлоя F1 крупноцветковая, смесь окрасок (А/ц)</t>
  </si>
  <si>
    <t>Умопомрачительная смесь петуний итальянской селекции от компании Farao! На миниатюрных, красивой формы кустиках высотой 15-20 см распускаются удивительно крупные,  ? 8-10 см цветы. Они притягивают взгляд графичностью расцветки. Растения отлично ветвятся, не требуя прищипки. Яркие куртины цветов будут радовать вас с июня и до заморозков. Они позволят создать романтичное настроение в защищенном от ветра уголке сада и на застекленном балконе. Смесь превосходно удается в горшечной культуре.</t>
  </si>
  <si>
    <t>4601729169045</t>
  </si>
  <si>
    <t>Ц Петуния Цветущий каскад (А\ц)</t>
  </si>
  <si>
    <t>100% махровая. Подлинный шедевр среди петуний – «Цветущий каскад» – гибрид с великолепными поникающими побегами до 40 см в длину и крупными, густомахровыми цветами O11-13 см. На протяжении всего сезона, с весны до поздней осени, образует каскады подёрнутых розовым и вишнёвым туманом соцветий, очень устойчивых к неблагоприятным условиям и долго сохраняющих свою декоративность.</t>
  </si>
  <si>
    <t>4601729191244</t>
  </si>
  <si>
    <t>Ц Петуния Шейк F1 грейпберри (А\ц)</t>
  </si>
  <si>
    <t>Многоцветковым петуниям голландской селекции из серии «Shake F1» свойственны генетическая карликовость кустиков и фантастически многогранная окраска крупных цветков диаметром 7-8 см. Удивительные переливы желтых и карминово-красных оттенков венчиков выглядят живописно и динамично. Каждый кустик – неповторимое чудо природы. Высота растений 15-20 см, ширина около 20-25 см. Цветение раннее, равномерное и длительное – исключительная декоративность обеспечена до конца теплого сезона, она отмечена наградой международного уровня. Петунии идеально подходят для вазонов и ковровых посадок.</t>
  </si>
  <si>
    <t>4601729170652</t>
  </si>
  <si>
    <t>Ц Петуния Шелк F1 обильноцветущая (А\ц)</t>
  </si>
  <si>
    <t>Однолетник.Высота 45 см.Диаметр 7 см.Самые заветные мечты садоводов воплотились в новой гибридной обильноцветущей петунии Шелк. Растение отличается особой компактностью, хорошим ветвлением, рано зацветает и дает так много одновременно распущенных крупных махровых цветков, что за ними практически не видно листочков. Гибрид характеризуется прекрасным внешним видом, продолжительным и очень дружным цветением, неприхотливостью и устойчивостью к неблагоприятным погодным условиям. Петуния незаменима в оформлении клумб, бордюров, вазонов, кашпо и балконных ящиков.</t>
  </si>
  <si>
    <t>4601729170706</t>
  </si>
  <si>
    <t>Ц Петуния Шифон F1 обильноцветущая (А\ц)</t>
  </si>
  <si>
    <t>Однолетник.Высота растения 35 см.Диаметр цветка 7 см.Надежный, сравнительно неприхотливый гибрид из американской серии «ДУО» с красивыми густомахровыми цветками Ø 5-7 см. Растения отличаются хорошим ветвлением кустов высотой 25-35 см, ранним, обильным и продолжительным цветением. Одновременно раскрытых цветков так много, что за ними практически не видно листочков. Незаменим в оформлении садовых цветников и балконов.</t>
  </si>
  <si>
    <t>4601729160158</t>
  </si>
  <si>
    <t>Ц Петуния Ягодный чизкейк, смесь  (А\ц)</t>
  </si>
  <si>
    <t>Смесь многоцветковых петуний от чешской компании. Гибриды устойчивы к неблагоприятным погодным условиям и быстро восстанавливают цветение после дождя. Растения в открытом грунте высотой 30-35 см, сильно ветвящиеся, обильно усыпаны цветами диаметром 5-7 см. Смесь украсит клумбы, цветники, рабатки и бордюры. Подходит для выращивания в балконных ящиках и контейнерах.</t>
  </si>
  <si>
    <t>4601729140433</t>
  </si>
  <si>
    <t>Ц Пиретрум Снежные звезды (А\ц)</t>
  </si>
  <si>
    <t>Неприхотливый, с отличными декоративными качествами. Оригинальные цветки  Ø 3 см, обильнейшее цветение с июня и до самых заморозков по достоинству сделают пиретрум всеобщим любимцем.</t>
  </si>
  <si>
    <t>4601729151927</t>
  </si>
  <si>
    <t>Ц Подсолнечник Ванилла айс (А\ц)</t>
  </si>
  <si>
    <t>Один из самых красивых декоративных подсолнечников с изумительной кремово-желтой окраской соцветий. Растения с хорошим ветвлением, высотой до 150 см, обильно цветут весь сезон. Соцветия с заостренными лепестками и черной серединкой, диаметром 10-15 см. Подсолнечник Ванилла Айс отлично смотрится в групповых посадках и миксбордерах на заднем плане. Привлекателен для насекомых-опылителей. Подходит для срезки.</t>
  </si>
  <si>
    <t>4601729160172</t>
  </si>
  <si>
    <t>Ц Подсолнечник Янтарная россыпь (А\ц)</t>
  </si>
  <si>
    <t>Достойный выбор в ассортименте высокорослых смесей известной медоносной культуры. Эффектная и поражающая своим величием она создана, чтобы полностью преобразить ваш участок. Растения неприхотливые, выносливые, высотой до 120-180 см. Рано зацветают и радуют взгляд до глубокой осени. Соцветия очень крупные (диаметром 14-18 см), насыщенных оттенков. Не выгорают на солнце, длительное время сохраняют свежесть и аккуратный вид. Подходят для срезки. Смесь можно использовать в качестве живой изгороди.</t>
  </si>
  <si>
    <t>4601729021411</t>
  </si>
  <si>
    <t>Ц Портулак махровый розовый (А\ц)</t>
  </si>
  <si>
    <t>Однолетник. Высота растения 10 см. Диаметр цветка 5 см. Травянистое растение (используемое как однолетник) с мясистыми стеблями, прямостоячими или полегающими, высотой до 30 см. Быстро разрастается, образуя плотный ковер из сочных сизовато-зеленых листьев и шелковистых махровых цветков, диаметром до 5 см, которые распускаются в течение всего летнего периода. Портулак хорошо растет на солнечных участках, является отличным  помощником в заполнении промежутков между растениями, может использоваться для озеленения балконов и террас (в горшках).</t>
  </si>
  <si>
    <t>4601729180064</t>
  </si>
  <si>
    <t>Ц Примула Белиссимо F1 турбоколор, смесь (А\ц)</t>
  </si>
  <si>
    <t>Одна из самых известных коллекций примул среднего срока цветения, созданная итальянской компанией Farao. Крупные яркие цветки диаметром 4-5 см собраны в изящные розетки, обрамленные бархатными листьями. Цветение обильное и дружное, начинается в мае-июне. Кустики примул компактные и плотные, высотой 12-15 см. Эта очаровательная смесь гибридов станет прекрасным выбором для украшения балконных контейнеров, садовых вазонов и бордюров в вашем саду. Она наполнит летними красками низкорослые клумбы и каменистые горки.</t>
  </si>
  <si>
    <t>4601729182228</t>
  </si>
  <si>
    <t>Ц Примула Джульет махровая, смесь сортов (А\ц)</t>
  </si>
  <si>
    <t>Примула Джульет от итальянской компании Farao – один из самых красивых первоцветов, который можно вырастить из семян! Красочные махровые и полумахровые цветки диаметром 1-2 см на фоне гофрированных изумрудных листьев выглядят по-настоящему роскошно. В комнатных условиях максимальная декоративность этого растения наблюдается в первые годы вегетации. При этом одному компактному кустику высотой 15-20 см достаточно посадочной емкости диаметром 12-14 см. В садах средней полосы эту примулу выращивают как однолетник. Она прекрасно выглядит на альпийских и каменистых горках, а также на центральных клумбах. Смесь подходит для срезки в мини-букеты.</t>
  </si>
  <si>
    <t>4601729118067</t>
  </si>
  <si>
    <t>Ц Примула Крупноцветковая F1, смесь окрасок (А/ц)</t>
  </si>
  <si>
    <t>Раннецветущая смесь с невероятно крупными цветками – 8-9 см в диаметре. Цветение пышное и дружное. Зацветает через 10-11 недель после высадки рассады. На второй год цветет в мае, повторно – в сентябре. Растения высотой 12-15 см. Великолепно смотрится в бордюрах и рабатках, украсит садовые вазы и контейнеры. На зиму рекомендуется профилактическое укрытие.</t>
  </si>
  <si>
    <t>4601729136535</t>
  </si>
  <si>
    <t>Ц Примула Леонардо F1, смесь сортов (А/ц)</t>
  </si>
  <si>
    <t>Позднецветущая (летняя) примула, удивит вас разнообразием оттенков крупных цветков диаметром 6 см. Цветение растений наступает в июне–июле. Кустики компактные, высотой 12-15 см. Красочная смесь примулы станет великолепным бордюрным растением в вашем саду, а также украсит балконные контейнеры. Кроме того, рекомендуется использовать гибриды в составе низкорослых клумб, каменистых горок и для окаймления небольших водоемов.</t>
  </si>
  <si>
    <t>4601729013706</t>
  </si>
  <si>
    <t>Ц Примула ушковая, смесь окрасок  (А\ц)</t>
  </si>
  <si>
    <t>Один из красивейших первоцветов, долговечный корневищный розеточный многолетник высотой 20-25 см. Листья кожистые, вечнозеленые, соцветие зонтиковидное из 5-20 бархатистых цветков со слабым ароматом. Цветение продолжительное – с апреля в течение 40-50 дней, обильное – взрослые растения дают до 10 цветоносов. Растения зимостойкие, неприхотливые, хорошо растут на солнечных местах и в полутени деревьев с разреженной кроной. Легко переносят непродолжительную засуху. Хорошо сочетаются с нарциссами, низкими ирисами, подснежниками, шиловидными флоксами.</t>
  </si>
  <si>
    <t>4601729153389</t>
  </si>
  <si>
    <t>Ц Ратибида Цветок прерий (А\ц)</t>
  </si>
  <si>
    <t>Яркий и удивительно выносливый многолетник родом из Северной Америки. Легко переносит жару, холода, засуху и затопление. Растение формирует один или несколько крепких стеблей, высотой до 100 см. Соцветия очень необычные, напоминают маленькие сомбреро – отсюда растение и получило свое второе название «мексиканская шляпа». Ратибида прекрасно выглядит в природных садах и цветниках. Подходит для срезки – стоит в вазе до 10 дней. Привлекает насекомых-опылителей.</t>
  </si>
  <si>
    <t>4601729073502</t>
  </si>
  <si>
    <t>Ц Рудбекия Зеленоглазка  (А\ц)</t>
  </si>
  <si>
    <t>Уникальный сорт рудбекии, известный цветоводам также под названием «ирландские глаза». Недолговечный многолетник, который на практике используется как однолетник или, реже, в качестве двулетника. Растение неприхотливое, обильноцветущее. Куст прямостоячий, хорошо разветвленный, высотой 65-75 см и до 45 см в ширину. Соцветия Ø 10-12 см на длинных, прочных цветоносах. Сорт хорошо подходит для оформления миксбордера, натургартена, на срез. Крупные золотистые «ромашки» с оливково-зеленым центром привлекают массу бабочек.</t>
  </si>
  <si>
    <t>4601729143168</t>
  </si>
  <si>
    <t>Ц Рудбекия Златовласка (А\ц)</t>
  </si>
  <si>
    <t>Один из самых популярных и красивых сортов рудбекии! Это однолетник, отмеченный международной организацией производителей цветочных семян FLEUROSELECT за выдающиеся декоративные и технологические качества. Растение формирует кустик высотой 50-60 см, на котором образуется огромное количество роскошных крупных цветков Ø 8-10 см. Золотисто-желтый оттенок махровых и полумахровых цветов сохраняется в течение всего периода цветения с июля до заморозков. Рудбекия Златовласка идеально подходит для создания яркого акцента в клумбах и цветниках. Дает отличную срезку.</t>
  </si>
  <si>
    <t>4601729065620</t>
  </si>
  <si>
    <t>Ц Рудбекия Краски осени смесь (А\ц)</t>
  </si>
  <si>
    <t>Однолетник
Высота 50-90 см
Диаметр 6-10 см
Яркая, солнечная смесь рудбекии с махровыми, полумахровыми и простыми соцветиями-корзинками O6-10 см. Стебли прямостоячие, ветвистые, высотой 50-90 см, с множеством крепких цветоносов. Цветет обильно и продолжительно, с июля до окончания сезона. Рудбекии предпочитают открытые солнечные места, но могут расти и в легкой полутени. Используются для групповых посадок в миксбордерах, бордюрах, рабатках и садовых вазах. Отлично подходят для срезки.</t>
  </si>
  <si>
    <t>4601729000881</t>
  </si>
  <si>
    <t>Ц Рудбекия пурпурная (Эхинацея пурпурная) (А\ц)</t>
  </si>
  <si>
    <t>Любимый садоводами, долговечный, травянистый многолетник. Образует розетку листьев и 15-20 прямых стеблей высотой около 1 м, увенчанных эффектными соцветиями Ø 10-15 см. Используется в миксбордерах, цветниках природного стиля. Отлично подходит для составления свежих букетов и сухих зимних композиций. Обладает ценными лекарственными и медоносными свойствами. В первый год вегетации зацветает 5-6% растений.</t>
  </si>
  <si>
    <t>4601729070105</t>
  </si>
  <si>
    <t>Ц Сальвия Костер (одн) 0,1 гр  (А\ц)</t>
  </si>
  <si>
    <t>Однолетник. Высота 60 см. Популярный яркий летник, классический элемент парадных цветников. Очень компактные невысокие кустики с ярко-красными пышными соцветиями – кистями хороши на клумбах, в рабатках и бордюрах, массивами или небольшими группками на газоне, привлекательны также в контейнерной культуре  в саду и на балконе. Относительно неприхотливое растение, неутомимо цветет с июля до заморозков.</t>
  </si>
  <si>
    <t>4601729069543</t>
  </si>
  <si>
    <t>Ц Сальвия Раннее утро (А\ц)</t>
  </si>
  <si>
    <t>Популярное однолетнее растение с пышными и яркими соцветиями. Кустики компактные, прямостоячие, густо облиственные, высотой 40-50 см. Цветки собраны в соцветия длиной 15-25 см. Растения 
неприхотливые, светолюбивые, достаточно засухоустойчивые. Используются на клумбах, в рабатках. Подходят для выращивания в садовых контейнерах как монокультура, так и в составе композиций.</t>
  </si>
  <si>
    <t>4601729137259</t>
  </si>
  <si>
    <t>Ц Сальвия Редди Ярко-алая карликовая смесь (А\ц)</t>
  </si>
  <si>
    <t>Будто пламя в ночи – огненный цветочный «маяк» – это новый сорт карликовой сальвии Редди голландской селекции! Отличается ранним и равномерным цветением. Соцветия крупные и плотные. Ярко-алые цветки обильно покрывают центральный побег, а изумрудные листья сосредоточены в его нижней трети. Растения карликовые – высотой 20-25 см. Сорт Редди подойдет для составления смешанных цветочных вазонов в саду и контейнеров на балконе. Плотные, групповые посадки сальвии оживят и украсят цветники различных типов.</t>
  </si>
  <si>
    <t>4603418012526</t>
  </si>
  <si>
    <t>Ц Сальвия Сверкающая Скарлет (А\ц)</t>
  </si>
  <si>
    <t>Обильноцветущее низкорослое растение. Кустики крепкие, компактные, хорошо облиственные, с множеством цветоносов. Цветки собраны в кистевидные соцветия 15-17 см длиной. Цветение раннее и продолжительное, с июня до первых заморозков. Растения тепло- и светолюбивые, хорошо переносят воздействие дождя и ветра. Отлично смотрятся в групповых посадках на клумбах, в бордюрах. Хорошо подходят для выращивания в садовых вазах и балконных ящиках.</t>
  </si>
  <si>
    <t>4601729164200</t>
  </si>
  <si>
    <t>Ц Сальпиглоссис Долли, смесь сортов (А/ц)</t>
  </si>
  <si>
    <t>Редкое однолетнее травянистое растение. В одной смеси собраны цветки самых различных оттенков. Растения кустистые, высотой до 40 см, с многочисленными изящными цветами, 5-6 см.</t>
  </si>
  <si>
    <t>4601729159572</t>
  </si>
  <si>
    <t>Ц Смесь сухоцветов Зимняя радуга (А\ц)</t>
  </si>
  <si>
    <t>Смесь неприхотливых цветочных культур из группы сухоцветов, которые не требуют особенного ухода и условий выращивания, но при этом неповторимо красивы как в цветнике, так и в букете</t>
  </si>
  <si>
    <t>4601729171284</t>
  </si>
  <si>
    <t>Ц Статица Букетная, смесь, долгоцветущая (А\ц)</t>
  </si>
  <si>
    <t>Растение многим знакомо в качестве одного из основных сухоцветов. Образует розетку орнаментальных прикорневых листьев, в июле-августе выбрасывает по 5-8 цветоносов высотой 60-80 см, увенчанных соцветием-щитком со множеством мелких пленчатых цветочков самой разнообразной окраски. Правильно высушенные, соцветия сохраняют привлекательность в букетах и композициях несколько лет.</t>
  </si>
  <si>
    <t>4601729065699</t>
  </si>
  <si>
    <t>Ц Тысячелистник Летняя сказка (А\ц)</t>
  </si>
  <si>
    <t>Засухоустойчивый многолетник с богатой палитрой окрасок для солнечных цветников. Ценится за неприхотливость и обильное, продолжительное цветение. Не требует особого ухода. Кусты высотой до 70 см идеально подходят для цветников природного стиля, каменистых садов и обычного миксбордера. Щитковидные соцветия  Ø 10-12 см пригодны для срезки в букеты.</t>
  </si>
  <si>
    <t>4601729140549</t>
  </si>
  <si>
    <t>Ц Флокс Калейдоскоп, смесь (А\ц)</t>
  </si>
  <si>
    <t>Долгоцветущая смесь однолетнего флокса. Неутомимо цветет с июня и до поздней осени, период цветения заканчивается только с наступлением сильных заморозков ниже -5°С. Кустики низкорослые – 20-25 см, компактной формы, с хорошим ветвлением, густо облиственные. Некрупные (Ø 2-2,5 см) душистые цветочки собраны в соцветия-щитки 7-9 см в поперечнике. Цветение обильное. Смесь рекомендуется для оформления клумб и рабаток, каменистых горок, бордюров вдоль дорожек. Растения имеют компактную корневую систему и подходят для выращивания в горшках и балконных ящиках.</t>
  </si>
  <si>
    <t>4601729173288</t>
  </si>
  <si>
    <t>Ц Цинерария комнатная, смесь (А\ц)</t>
  </si>
  <si>
    <t>Комнатное многолетнее растение. Высота 30 см. Диаметр 2 см. Это красивоцветущее, компактное растение - одна из немногих культур, которая цветет в зимне-весенний период, во время цветения верхушки побегов венчают крупные шапки из многочисленных ярких соцветий-корзинок разнообразных окрасок. Цветение длится в течение 4-6 месяцев. Используется для аранжировки внутренних прохладных помещений и зимних садов.</t>
  </si>
  <si>
    <t>4601729171529</t>
  </si>
  <si>
    <t>Ц Цинерария Серебряный кораблик (А\ц)</t>
  </si>
  <si>
    <t>Ценный сорт декоративнолиственного летника с красивым, гармоничным кустом высотой около 20 см. Стебли прямостоячие, с тонко рассеченными листьями, густо покрытыми войлочным опушением, отчего растения имеют бело-серебристый цвет. Кустики декоративны с момента высадки вплоть до поздних заморозков. Прекрасный сорт для ковровых цветников, бордюров, альпинариев, контейнеров.</t>
  </si>
  <si>
    <t>4601729028946</t>
  </si>
  <si>
    <t>Ц Цинния Богиня (А\ц)</t>
  </si>
  <si>
    <t>Оригинальная кактусовидная цинния с очень крупными (Ø 13-15 см) густомахровыми соцветиями. Растения быстрорастущие, мощные, ветвистые, прямостоячие, высотой до 75 см, с прочными цветоносами. Устойчивы к воздействию дождя и ветра. Цветение обильное и продолжительное, одновременно на кусту распускается 15-20 шт. соцветий. Циннии тепло- и светолюбивые, засухоустойчивые (полив желателен только при длительной засухе). Используются в цветниках всех типов, отлично подходят для срезки.</t>
  </si>
  <si>
    <t>4601729052934</t>
  </si>
  <si>
    <t>Ц Цинния Изабеллина  (А\ц)</t>
  </si>
  <si>
    <t>Однолетнее обильно цветущее растение с нежными крупными соцветиями будет прекрасно смотреться в любой цветочной композиции. На мощных, ветвящихся стеблях, до 90см высотой, в июле появляются удивительно изящные махровые кремово-желтые цветки, до 15см в диаметре.</t>
  </si>
  <si>
    <t>4601729149900</t>
  </si>
  <si>
    <t>Ц Цинния Клеопатра F1 белая (А/ц)</t>
  </si>
  <si>
    <t>Низкорослый гибрид с эффектными георгиновидными соцветиями. Кусты высотой 25-30 см, полушаровидной формы, хорошо разветвленные. Густомахровые шапки соцветий Ø 10 см необыкновенно привлекательно смотрятся на компактных, приземистых кустах. Растения устойчивы к жаре. Используются для оформления цветников, балконных и уличных контейнеров, горшечного выращивания.</t>
  </si>
  <si>
    <t>4601729159541</t>
  </si>
  <si>
    <t>Ц Цинния Клеопатра F1 желтая (А/ц)</t>
  </si>
  <si>
    <t>Низкорослый гибрид итальянской селекции с эффектными георгиновидными соцветиями. Кусты высотой 30-40 см, полушаровидной формы, хорошо разветвленные. Густомахровые шапки соцветий диаметром 8-10 см привлекательно смотрятся на приземистых кустах. Растения устойчивы к жаре. Используются для оформления цветников, балконных и уличных контейнеров, горшечного выращивания.</t>
  </si>
  <si>
    <t>4601729067846</t>
  </si>
  <si>
    <t>Ц Цинния Крупноцветковая Белая (А\ц)</t>
  </si>
  <si>
    <t>Одна из лучших срезочных цинний. Кусты высотой до 90 см, крепкие, с прочными цветоносами. Соцветия георгиновидные, Ø 13-15 см. Каждый отдельный цветок сохраняет декоративность до 30 дней. В оформлении цветников растения используют на заднем плане, в групповых и бордюрных посадках.</t>
  </si>
  <si>
    <t>4601729067853</t>
  </si>
  <si>
    <t>Ц Цинния Крупноцветковая Винно-красная 0,3г (А\ц)</t>
  </si>
  <si>
    <t>4601729067860</t>
  </si>
  <si>
    <t>Ц Цинния Крупноцветковая Желтая (А\ц)</t>
  </si>
  <si>
    <t>Однолетник. Высокорослая, обильноцветущая цинния с яркими махровыми соцветиями Ø 13-15 см. Кусты быстрорастущие, мощные, высотой 70-90 см, с множеством цветоносов. Цветение раннее и продолжительное, с июня до окончания сезона. Каждое соцветие держится на растении до 30 дней. Циннии неприхотливые, теплолюбивые, достаточно засухоустойчивые, предпочитают солнечное местоположение. Широко используются для выращивания на клумбах и рабатках, отлично подходят для срезки. Срезанные цветы долго стоят в воде.</t>
  </si>
  <si>
    <t>4601729067877</t>
  </si>
  <si>
    <t>Ц Цинния Крупноцветковая Красная (А/ц)</t>
  </si>
  <si>
    <t>4601729067891</t>
  </si>
  <si>
    <t>Ц Цинния Крупноцветковая Пурпурная (А\ц)</t>
  </si>
  <si>
    <t>Однолетник. Одна из лучших срезочных цинний. Кусты высотой до 90 см, крепкие, с прочными цветоносами. Соцветия георгиновидные, Ø 13-15 см. Каждый отдельный цветок сохраняет декоративность до 30 дней. В оформлении цветников растения используют на заднем плане, в групповых и бордюрных посадках.</t>
  </si>
  <si>
    <t>4601729067907</t>
  </si>
  <si>
    <t>Ц Цинния Крупноцветковая Розовая (А\ц)</t>
  </si>
  <si>
    <t>4601729011320</t>
  </si>
  <si>
    <t>Ц Цинния Лунный камень 0.5гр (А/ц)</t>
  </si>
  <si>
    <t>Однолетник. Эффектный сорт с очень крупными (Ø 12-14 см) махровыми соцветиями. Кусты мощные, до 70 см в высоту, хорошо облиственные, с крепкими цветоносами. Хорошо переносят дождливую и ветреную погоду. Цветение раннее и продолжительное, с июня до первых заморозков. Растения теплолюбивые, засухоустойчивые, предпочитают солнечные места. Используются на клумбах, в рабатках, великолепно смотрятся в групповой посадке. Срезанные цветы долго стоят в воде.</t>
  </si>
  <si>
    <t>4601729149924</t>
  </si>
  <si>
    <t>Ц Цинния Мастер белая (А\ц)</t>
  </si>
  <si>
    <t>Крепкие, приземистые кусты 25-30 см высотой поражают суперобильным, длительным цветением. Каждый цветок держится на растении более месяца. Цветки густомахровые, очень крупные – Ø 10 см. Если не знать точно, что перед вами сорт, то циннии группы МАСТЕР итальянской компании Farao по внешнему виду легко принять за гибрид в первом поколении. Растения устойчивы к жаре, хорошо выдерживают самые высокие температуры. Один из лучших сортов для горшечного выращивания на солнечных балконах и террасах. В садовых цветниках подходит для бордюров, переднего края смешанных цветников и посадок сплошными массивами. Сорт будет интересен для озеленителей – профессионалов.</t>
  </si>
  <si>
    <t>4601729028908</t>
  </si>
  <si>
    <t>Ц Цинния Ред мен кактусовидная  (А\ц)</t>
  </si>
  <si>
    <t>Великолепный яркий сорт. Образует мощный куст высотой 70-90 см, с множеством крепких цветоносов. Соцветия густомахровые, кактусовидные, Ø 13-15 см. Цветение раннее, обильное и продолжительное. Каждое соцветие на растении сохраняет декоративность до 35 дней. Растения используют для оформления цветников и на срезку.</t>
  </si>
  <si>
    <t>4601729168444</t>
  </si>
  <si>
    <t>Ц Шток-роза Ассорти, смесь (А\ц)</t>
  </si>
  <si>
    <t>Однолетник. Великолепная смесь окрасок сравнительно невысоких шток-роз, цветущих в год посева. Формирует компактные, аккуратные растения высотой до 80 см, с хорошим ветвлением от основания куста. Махровые и полумахровые цветки диаметром 10-12 см собраны в вытянутые соцветия-кисти. Смесь пышно цветет с июля по сентябрь. Используется для оформления клумб, рабаток, миксбордеров, декорирования изгородей и стен. Соцветия пригодны для срезки в букеты. Срезанные соцветия долго остаются свежими.</t>
  </si>
  <si>
    <t>4601729176791</t>
  </si>
  <si>
    <t>Ц Шток-роза Королевская алая (А\ц)</t>
  </si>
  <si>
    <t>Сорт формирует компактные, аккуратные кусты высотой всего 60 см, что весьма необычно для преимущественно высокорослых шток-роз. При раннем посеве на рассаду цветет в первый год. Цветки  ? 9-10 см, махровые, оригинальной формы, с изрезанным краем лепестков, с тонким, приятным ароматом. Растения пышно цветут с июля по сентябрь. Используются для оформления клумб, рабаток, миксбордеров, контейнеров. Срезанные соцветия великолепно распускаются в воде до последнего бутона.</t>
  </si>
  <si>
    <t>4601729175145</t>
  </si>
  <si>
    <t>Ц Шток-роза Королевская лиловая (А\ц)</t>
  </si>
  <si>
    <t>Однолетник. Высота 50 см. Диаметр 9 см. Удивительная яркая новинка расставит самые выразительные акценты в саду. Порадует вас пышным цветением, прелестным ароматом и удивительной формой крупных цветков. Небольшие по высоте растения, всего 50 см, издалека привлекут внимание обильно цветущими конделябрами цветов. Срезанные соцветия в бутонах великолепно распускаются в воде.</t>
  </si>
  <si>
    <t>4601729167232</t>
  </si>
  <si>
    <t>Ц Шток-роза Королевская пурпурная (А\ц)</t>
  </si>
  <si>
    <t>Однолетник. Диаметр 9 см. Удивительная яркая новинка расставит самые выразительные акценты в саду. Порадует вас пышным цветением, прелестным ароматом и удивительной формой крупных цветков. Небольшие по высоте растения, всего 50 см, издалека привлекут внимание обильно цветущими конделябрами цветов. Срезанные соцветия в бутонах великолепно распускаются в воде.</t>
  </si>
  <si>
    <t>4601729000713</t>
  </si>
  <si>
    <t>Ц Шток-роза Летний карнавал, смесь окрасок (А/ц)</t>
  </si>
  <si>
    <t>Популярное, неприхотливое высокорослое растение с крупными махровыми цветками. Кусты мощные, ветвистые от основания, высотой 150-170 см. Цветки Ø 6-8 см собраны в длинные колосовидные соцветия. Цветение обильное и продолжительное, с июля до сентября. Шток-розы свето-любивые, засухоустойчивые, не любят застоя воды в почве. Широко используются в цветниках на заднем плане, для декорирования вдоль стен и оград. Отлично подходят для срезки, в воде раскрываются все бутоны.</t>
  </si>
  <si>
    <t>4601729186486</t>
  </si>
  <si>
    <t>Ц Шток-роза Мажоретт шампань махровая (А\ц)</t>
  </si>
  <si>
    <t>Фантастически красивая серия махровых шток-роз «Мажоретт» (Majorette) редких оттенков. Растения среднерослые (высотой около 100 см), с необычными ажурными листьями. Бутоны на цветоносных побегах формируются близко друг к другу. Впечатляющий размер (диаметр 9-11 см), изысканная окраска, особая пышность и нежность обеспечивают соцветиям необыкновенную декоративность. Совокупность этих особенностей придает кустикам роскошный облик во время цветения. Сорт великолепно выглядит в букете. Срезку можно проводить в фазе бутонизации. Серия подходит для оформления высоких бордюров, украшения рабаток, вазонов, для высадки вокруг беседок и вдоль заборов.</t>
  </si>
  <si>
    <t>4601729028793</t>
  </si>
  <si>
    <t>Ц Эшшольция Микадо, калифорнийская (А\ц)</t>
  </si>
  <si>
    <t>Яркий летник с обильным цветением. Кустики компактные, высотой 35-40 см. Цветки Ø 4-5 см возвышаются над ажурной листвой. Цветение продолжительное. Растения не боятся кратковременных заморозков, крайне засухоустойчивые – одни из немногих, которые хорошо растут на сухих песчаных почвах. Используются на клумбах, в рабатках, на каменистых горках и в мавританском газоне. Подходят для контейнерной культуры.</t>
  </si>
  <si>
    <t>4601729167935</t>
  </si>
  <si>
    <t>Ц Эшшольция Свадебный букет, смесь (А\ц)</t>
  </si>
  <si>
    <t>Однолетник. Высота 45 см. Диаметр 8 см. Новая нежная и романтическая смесь очаровательной эшшольции не оставит вас равнодушными. Неприхотливые растения будут радовать своими крупными махровыми цветками с июля до заморозков. Цветы в изобилии открываются в ясную, солнечную погоду, и наполнят Ваш сад теплом и светом.</t>
  </si>
  <si>
    <t>4601729065750</t>
  </si>
  <si>
    <t>Ц Эшшольция Тайский шелк, смесь (А\ц)</t>
  </si>
  <si>
    <t>Один из самых неприхотливых летников для солнечных цветников. Формирует пышные кусты высотой около 50 см с ажурной листвой. Яркие цветки 06-7 см  с  блестящими  «лакированными»  лепестками в изобилии раскрываются с июня до заморозков. Используется для украшения клумб, альпийской горки, балконов. Выращивается в составе мавританского газона.</t>
  </si>
  <si>
    <t>4601729188398</t>
  </si>
  <si>
    <t>Ц Эшшольция Хрустальные колокольчики, смесь (А\ц)</t>
  </si>
  <si>
    <t>Однолетник. Высота 50 см. Яркое растение с крупными махровыми шелковистыми цветами, похожими на маленькие маки, и ажурной, сильно рассеченной сизоватой листвой. Благодарное растение для цветников любого назначения. Своим цветением создает радостное настроение все лето. Кустик высотой 50 см украшают многочисленные пурпурно-лиловые цветки диаметром до 7 см.</t>
  </si>
  <si>
    <t>4601729126574</t>
  </si>
  <si>
    <t>Цикорий корневой Петровский (А/ц)</t>
  </si>
  <si>
    <t>Выдающийся раннеспелый сорт. Превосходит большинство других сортов по урожайности, товарности корнеплодов, содержанию в них сахаров, инулина и других полезных веществ. От всходов до уборки 125-137 дней. Растения высокие, корнеплоды короткие, широкие. Используют в кулинарии и для приготовления напитка заменяющего кофе. Для этого подсушенное сырье (нарезанные кусочками корнеплоды) помещают в духовой шкаф нагретый до 50°С, постепенно доводят до 180°С периодически помешивая. Когда появляется характерный цикорный аромат, кусочки достают, сразу охлаждают и измельчают в кофемолке.</t>
  </si>
  <si>
    <t>4601729085659</t>
  </si>
  <si>
    <t>Чабер Ароматный огородный (А\ц)</t>
  </si>
  <si>
    <t>Среднеспелый сорт, период от полных всходов до цветения 45-48 дней. Растение высотой до 50 см, раскидистое. Масса одного растения 140 г. Урожайность зелени 2 кг/м2. Ароматичность сильная. Молодые листья и стебли богаты витаминами: С, каротином (провитамин А), рутином. Используется в свежем и сушеном виде в домашней кулинарии (салатах, супах, мясных, овощных блюдах), для ароматизации уксусов и маринадов, при консервировании огурцов. Классическая приправа для блюд из бобовых. Ввиду высоких декоративных качеств чабер также выращивают в цветниках. Хорошо растет на подоконнике и на балконе.</t>
  </si>
  <si>
    <t>4601729061585</t>
  </si>
  <si>
    <t>Чабрец Сила духа 0.05г  (А\ц)</t>
  </si>
  <si>
    <t>Многолетний полукустарник высотой до 30 см. Образует компактные кустики, обильно цветущие с июня до августа. Богат ароматными эфирными маслами, эффективен при лечении простудных заболеваний. Зелень используют, добавляя в чай. Чай с чабрецом – природный, экологически чистый продукт, полезный и взрослым, и детям. Он тонизирует, помогает увеличить работоспособность. Растительное масло, настоянное на тимьяне, – отличная заправка к овощным салатам. Прекрасный медонос.</t>
  </si>
  <si>
    <t>4601729159480</t>
  </si>
  <si>
    <t>Эстрагон Зеленый дол (А\ц)</t>
  </si>
  <si>
    <t>Эстрагон – пряно-ароматическое, травянистое, многолетнее растение, чаще именуемое «тархун». В переводе с латыни означает «драконова полынь». Сорт стойко переносит периоды засухи и зимние морозы. Высота взрослого растения достигает 1-1,5 м. Первую массовую срезку зелени рекомендуется проводить со второго года вегетации, через месяц после весеннего отрастания. Возможна вторая уборка зелени через 4 месяца после пер вой срезки. Высокая ароматичность и потрясающий вкус позволяют использовать нежные листья и молодые побеги в качестве при правы в кулинарии и в заготовках на зиму.</t>
  </si>
  <si>
    <t>4601729177705</t>
  </si>
  <si>
    <t>Базилик Арарат 0,2 г (А\б)</t>
  </si>
  <si>
    <t>б/п</t>
  </si>
  <si>
    <t>Сорт среднеспелый, от всходов до начала цветения 70 дней. Растения прямостоячие, высотой 60 см. Лист синевато-зеленый со  средним антоцианом, аромат анисовый. Рекомендуется для использования в свежем и сушеном виде в домашней кулинарии.</t>
  </si>
  <si>
    <t>4601729177712</t>
  </si>
  <si>
    <t>Базилик зеленый (А/б)</t>
  </si>
  <si>
    <t>Пряно-ароматическое растение высотой 25-50 см. Листья нежно-зеленые, яйцевидной формы, блестящие. Стебли сочные, довольно мясистые. Выращивается базилик для получения пряной зелени, которая используется в свежем и сушеном виде, в качестве приправы к соусам, мясным и рыбным блюдам, а также в маринадах и соленьях. Идеально подходит для горшечной культуры в комнатных условиях, на балконе и лоджии.</t>
  </si>
  <si>
    <t>4601729158940</t>
  </si>
  <si>
    <t>Базилик Крупнолистный сладкий  0,2 г (А\б)</t>
  </si>
  <si>
    <t>Ранний сорт. Формирует урожай зеленой массы за 50-60 дней от всходов. Растения прямостоячие, высотой 50-60 см. Лист крупный, широкий, зеленый. Вкус сладкий, с гвоздичным привкусом и ароматом. Используется в кулинарии в свежем и сушеном виде.</t>
  </si>
  <si>
    <t>4601729177729</t>
  </si>
  <si>
    <t>Базилик фиолетовый (А\б)</t>
  </si>
  <si>
    <t>Базилик фиолетовый представляет собой однолетнее растение, которое достигает 50 см в высоту, с множеством листьев насыщенного фиолетового цвета</t>
  </si>
  <si>
    <t>4601729160912</t>
  </si>
  <si>
    <t>Бобы Белорусские * (А/б)</t>
  </si>
  <si>
    <t>Среднеспелый (техническая спелость наступает через 70 дней, сбор урожая через 90-110 дней) сорт, отличающийся высокой калорийностью .</t>
  </si>
  <si>
    <t>4601927041204</t>
  </si>
  <si>
    <t>Бобы черные русские * (А/б)</t>
  </si>
  <si>
    <t>Сорт среднеранний, от всходов до созревания семян 85-90 дней, от всходов до цветения 22-27 суток, до технической спелости 60-65 суток. Растение ветвистое, стебель прочный, до 110 см высотой. Бобы достигают в длину 7-8 см.</t>
  </si>
  <si>
    <t>4601929003767</t>
  </si>
  <si>
    <t>Горох Амброзия 10гр. (А\б)</t>
  </si>
  <si>
    <t>Популярный сахарный сорт. Один из самых скороспелых – от всходов до потребительской спелости бобов 45-55 дней. Растения высотой 50-70 см. Бобы-лопатки без жесткого пергаментного слоя, сочные и сладкие, деликатесного вкуса. В пищу их используют целиком на ранних сроках формирования боба. Урожайность лопаток 1,7-1,8 кг/м2.</t>
  </si>
  <si>
    <t>4601729125799</t>
  </si>
  <si>
    <t>Горох Детская сладость * 10 гр. (А\б)</t>
  </si>
  <si>
    <t>Раннеспелый мозговой сорт сахарного гороха. От всходов до первого сбора 45-50 дней. Стебли средней длины, 60-70 см. Бобы длинные, широкие. В пищу используются не только семена-горошины, но и весь боб целиком. Створки лопаток без жесткого пергаментного слоя, сочные, мясистые, сладкие, деликатесного вкуса. Недозрелые бобы – прекрасное лакомство в свежем виде.</t>
  </si>
  <si>
    <t>4601729125812</t>
  </si>
  <si>
    <t>Горох Русский гигант 10 гр. (А/б)</t>
  </si>
  <si>
    <t>Среднеспелый сорт, от полных всходов до технической спелости горошка 60-70 дней. Растения высотой 70-80 см, устойчивые к полеганию, с дружным формированием урожая. Бобы длинные (около 9 см), темно-зеленые, с 9-10 горошинами выравненного размера. Принадлежит к группе сортов с семенами мозгового типа. Вкусовые качества такого горошка в фазу молочно-восковой спелости более высокие, чем у обычных гладкозерных сортов. Урожайность горошка высокая – 0,6-1,0 кг/м2. Рекомендуется для использования в свежем виде, для консервирования и замораживания.</t>
  </si>
  <si>
    <t>4601729111327</t>
  </si>
  <si>
    <t>Горох Сахарный 2 10 гр. (А/б)</t>
  </si>
  <si>
    <t>Среднепоздний (49-60 дней от полных всходов до начала сбора бобов) сахарный сорт. Боб прямой, с заостренной верхушкой, без пергаментного слоя, длинный (7-9 см). В каждом бобе завязывается 7-9 горошин. Стенки бобов толстые, мясистые, на вкус сладкие, без наличия жестких тканей. Требуется подвязка.</t>
  </si>
  <si>
    <t>4601729003110</t>
  </si>
  <si>
    <t>Дайкон Миноваси * 1г (А/б)</t>
  </si>
  <si>
    <t>Среднеспелый сорт (период от полных всходов до начала технической спелости 65-70 дней). Корнеплоды длинные – 45-50 см, цилиндрические с белой кожурой и белой мякотью. Масса корнеплода 1,2-1,5 кг.</t>
  </si>
  <si>
    <t>4601729135361</t>
  </si>
  <si>
    <t>Дайкон Саша * 1 гр. (А/б)</t>
  </si>
  <si>
    <t>Раннеспелый, период от всходов до технической спелости 35-45 дней. Корнеплод округлый и овально-округлый, длиной до 11 см, белый, гладкий.</t>
  </si>
  <si>
    <t>4601729162404</t>
  </si>
  <si>
    <t>Дыня Колхозница (А/б)</t>
  </si>
  <si>
    <t>Сорт среднеспелый (77-110 дней от появления всходов до начала созревания). Плод шаровидный, гладкий, темно-зеленый или темно-оранжевый, весом до 1,5 кг. Мякоть белая, плотная, вязкая, сладкая. Сорт устойчив к пониженным температурам и другим неблагоприятным условиям.</t>
  </si>
  <si>
    <t>4601729161926</t>
  </si>
  <si>
    <t>Кабачок Аэронавт цукини 10 шт. (А/б)</t>
  </si>
  <si>
    <t>Раннеспелый сорт. От всходов до плодоношения 45-50 дней. Растения кустовые. Кусты компактные, плетей мало, главный побег короткий. Плод цилиндрический, темно зеленый с мелкой крапчатостью, массой до 1,3 кг. Мякоть кремовая, нежная, хорошего вкуса. Урожайность 7-8 кг/м2. Плоды хорошо хранятся.</t>
  </si>
  <si>
    <t>4603418016869</t>
  </si>
  <si>
    <t>Кабачок Грибовский-37 (А\б)</t>
  </si>
  <si>
    <t>Среднеранний сорт белоплодных кабачков, от всходов до первого сбора проходит 46-57 дней. Растение кустовое, сильноветвящееся с пятиугольными, слаборассеченными листьями. Плод среднего размера, цилиндрической формы, с небольшой ребристостью у плодоножки. Мякоть белого цвета с желтым оттенком, нежная, сочная. Вес одного плода от 700 г до 1,3 кг.</t>
  </si>
  <si>
    <t>4601729161940</t>
  </si>
  <si>
    <t>Кабачок Зебра цукини 10 шт. (А/б)</t>
  </si>
  <si>
    <t>Раннеспелый, холодостойкий сорт. От всходов до первого сбора плодов 40-50 дней. Растение кустовое, со слабым ветвлением. Плод цилиндрический, ребристый, зелено-полосатый, массой 0,9-1,1 кг. Мякоть кремовая. Вкус отличный. Урожайность 7-8 кг/м2.</t>
  </si>
  <si>
    <t>4601729161964</t>
  </si>
  <si>
    <t>Кабачок Негритенок, цукини 10 шт. (А/б)</t>
  </si>
  <si>
    <t xml:space="preserve"> Раннеспелый сорт, вступает в плодоношение на 45 день от всходов. Растения кустовые, компактные. Плоды цилиндрические, темно-зеленые, массой 0,4-0,9 кг. Мякоть кремово-белая, вкус отличный. Урожайность 7-8 кг/м2. Сорт относительно устойчив к пониженным температурам.</t>
  </si>
  <si>
    <t>4601729161971</t>
  </si>
  <si>
    <t>Кабачок Скворушка, цуккини  (А\б)</t>
  </si>
  <si>
    <t>Раннеспелый сорт. От всходов до первого сбора плодов 40-45 дней. Растения кустовые, компактные, засухо- и холодоустойчивые. Плоды темно-зеленые, крапчатые, массой 0,7-1,1 кг. Мякоть кремовая. Вкус хороший. Урожайность 8-10 кг/м2.</t>
  </si>
  <si>
    <t>4601927086809</t>
  </si>
  <si>
    <t>Кабачок Цукеша, цукини  (А\б)</t>
  </si>
  <si>
    <t>Cкороспелый сорт, вступает в плодоношение на 41-50 день от всходов. Растения кустовые, компактные. Плоды массой 07-0,9 кг, с белой мякотью отличного вкуса. Урожайность 11-12кг/м2. Пригоден для получения ранней продукции в пленочных теплицах.</t>
  </si>
  <si>
    <t>4601729162008</t>
  </si>
  <si>
    <t>Кабачок Черный красавец цукини (А\б)</t>
  </si>
  <si>
    <t>Раннеспелый кустовой сорт. Плод цилиндрический, темно-зеленый, глянцевый, массой до 2,0 кг. Мякоть светлая, сочная, с отличными вкусовыми качествами. Товарная урожайность до 10 кг/м2. Для потребления в свежем виде и для консервирования.</t>
  </si>
  <si>
    <t>4601729161919</t>
  </si>
  <si>
    <t>Кабачок Якорь, белоплодный 8 шт. (А/б)</t>
  </si>
  <si>
    <t>Раннеспелый. От всходов до первого сбора 41-49 дней. Растение кустовое, слабооблиственное.  Плод цилиндрический, светло-желтый, массой  0.9 кг. Мякоть светло-желтая, с хорошим  вкусом. Товарная урожайность 8-10 кг/м2. Рекомендуется для столовых целей.</t>
  </si>
  <si>
    <t>4601729157653</t>
  </si>
  <si>
    <t>Капуста б/к №1 Грибовский-147 0,3 гр. (А/б)</t>
  </si>
  <si>
    <t>Сорт раннеспелый (от всходов до хозяйственной годности 93-130 дней). Кочаны круглые, массой 0,9 - 3,0 кг. Созревание кочанов достаточно дружное. Сорт урожайный (6-7 кг с кв.м), вкусовые качества хорошие. Районирован на всей территории Российской Федерации. Хорошие предшественники капусты - бобовые, огурец, картофель. Капуста отзывчива на внесение органических и минеральных удобрений. Посев на рассаду проводят во второй половине марта. Рассада готова к посадке через 35-40 дней после всходов.</t>
  </si>
  <si>
    <t>4601927072352</t>
  </si>
  <si>
    <t>Капуста б/к Амагер-611 * 0,3 г  (А/б)</t>
  </si>
  <si>
    <t>Позднеспелый, от всходов до созревания кочанов 140-150 дней. Кочаны округло-плоские, очень плотные, массой 2,5-4 кг. Окраска серо-зеленая, с сильным восковым налетом. Лежкость отличная, высокие вкусовые качества сохраняются до апреля. Сорт отличается тем, что вкусовые качества продукции при длительном хранении только улучшаются.</t>
  </si>
  <si>
    <t>4601927072376</t>
  </si>
  <si>
    <t>Капуста б/к Белорусская 455  0,3 г (А/б)</t>
  </si>
  <si>
    <t>Среднеспелый, сорт, от всходов до технической спелости 125-150 дней. Кочан округлый или округло – плоский, на разрезе белый, очень плотный, массой 1,3-4кг. Вкусовые качества высокие.</t>
  </si>
  <si>
    <t>4601729157592</t>
  </si>
  <si>
    <t>Капуста б/к Зимовка 1474 (А\б)</t>
  </si>
  <si>
    <t>Сорт позднеспелый, от всходов до технической спелости 130-150 дней. Кочаны округло-плоские, очень плотные, массой 2,0-3,6 кг. Транспортабельность высокая. Урожайность 5,0-6,0 кг/м2. Отличается высокой лежкостью при зимнем хранении. Товарность за 6 месяцев хранения – 80-90%. При благоприятных условиях кочаны сохраняются до июня. По мере хранения вкусовые качества кочанов улучшаются. Используется в свежем виде во второй половине зимы.</t>
  </si>
  <si>
    <t>4601729157615</t>
  </si>
  <si>
    <t>Капуста б/к Каменна глова 0,3 г (А\б)</t>
  </si>
  <si>
    <t>Высокопродуктивный позднеспелый сорт, один из лучших для длительного хранения (до 7 месяцев). От всходов до уборки 140-155 дней. Устойчив к комплексу болезней. Кочан округло-плоский, очень плотный, массой 2,5-4,0 кг. Рекомендуется для потребления в свежем виде в зимний период и квашения. Урожайность 6-14 кг/м2.</t>
  </si>
  <si>
    <t>4601729157622</t>
  </si>
  <si>
    <t>Капуста б/к Лангедейкер поздняя 0,3 г. (А\б)</t>
  </si>
  <si>
    <t>Лежкий позднеспелый сорт для зимнего потребления. Формирует урожай за 145-160 дней от всходов. Кочан округлый, высокой плотности, массой 2,0-4,0 кг. Устойчив к растрескиванию.Вкус хороший. Урожайность 9-10 кг/м2. Лежкость при зимнем хранении отличная.</t>
  </si>
  <si>
    <t>4601927072284</t>
  </si>
  <si>
    <t>Капуста б/к Московская поздняя * 0,3 г  (А\б)</t>
  </si>
  <si>
    <t>Позднеспелый сорт. Один из высокоурожайных, крупнокочанных сортов. Особенно высокие урожаи дает на пойменных землях. Устойчив к киле. Спелость кочанов наступает через 115 дней после высадки рассады. Кочаны округлые, плотные, на разрезе белые. Особенно хорош в квашении, пригоден для зимнего хранения (5-6 месяцев). Масса 2,5-4,2 кг. Урожайность до 9 кг/м2.</t>
  </si>
  <si>
    <t>4601927072406</t>
  </si>
  <si>
    <t>Капуста б/к Надежда (А\б)</t>
  </si>
  <si>
    <t>Среднеспелый сорт, предназначен для использования в свежем виде и недлительного хранения (6 месяцев). Отличный для квашения. Один из наиболее урожайных сортов. Кочан округлый, иногда округло-плоский, с короткой внутренней кочерыгой. Сорт устойчив к растрескиванию, с хорошей транспортабельностью, холодостойкий.</t>
  </si>
  <si>
    <t>4601729157684</t>
  </si>
  <si>
    <t>Капуста б/к Харьковская зимняя * 0,3 г (А\б)</t>
  </si>
  <si>
    <t>Позднеспелый сорт. Созревание кочанов наступает через 122-135 дней после высадки рассады. Розетка среднего размера и крупная (диаметр 80-110 см). Кочаны округло-плоские и плосковыпуклые, зеленовато-белые, плотные, не растрескиваются, масса 1,9-3,5 кг. Урожайность до 11,0 кг/м2. Сорт жаровыносливый, морозостойкий. Используется для потребления в свежем виде, для квашения и для хранения свежей продукции в свежем виде (до 6 месяцев). Устойчив к точечному некрозу во время хранения. Вкус отличный.</t>
  </si>
  <si>
    <t>4601929135383</t>
  </si>
  <si>
    <t>Капуста брокколи Фабрика здоровья (А\б)</t>
  </si>
  <si>
    <t>Среднеспелый сорт. Ценен дружной отдачей урожая: спустя 80-85 дней от всходов срезают центральные головки массой 300-500 г. После срезки растения формируют головки второго порядка массой 55-80 г каждая. Общая урожайность достигает 4 кг/м2.</t>
  </si>
  <si>
    <t>4601729136061</t>
  </si>
  <si>
    <t>Капуста к/к Рубин (А\б)</t>
  </si>
  <si>
    <t>Среднеспелый сорт, формирует урожай за 120-130 дней от высадки рассады. Ценится за высокую урожайность (10 кг/м2) и дружное созревание. Кочаны плотные, округло-плоские, темно-фиолетовые, массой 1-2 кг. Хранятся до января. Сорт устойчив к комплексу болезней и растрескиванию кочанов. Широко распространен, возделывается в разных зонах. Для зимнего хранения кочаны срезают, оставляя более длинную кочерыгу с двумя-тремя покровными листьями.</t>
  </si>
  <si>
    <t>4601729041242</t>
  </si>
  <si>
    <t>Кукуруза Кубанская сахарная (А\б)</t>
  </si>
  <si>
    <t>Раннеспелый  высокоурожайный  сорт. Техническая спелость наступает на 80-90 день от всходов. Высота растений 170-190 см. Початок длиной 18-20 см и массой 190-200 г. Зерно крупное, с тонкой оболочкой. Вкусовые качества вареной и консервированной продукции отличные.</t>
  </si>
  <si>
    <t>4601729125829</t>
  </si>
  <si>
    <t>Кукуруза Ранняя лакомка 121 сахарная (А\б)</t>
  </si>
  <si>
    <t>Раннеспелый, высокоурожайный сорт сахарной кукурузы. Растение высотой 140-150 см. Початок цилиндрический, массой – 170-230 г, длиной 18-22 см. Зерна сладкие, нежные, с тонкой кожицей. При варке в молочной спелости – прекрасное лакомство для детей. Рекомендуется для консервирования и замораживания. Обладает повышенной устойчивостью к заболеваниям.</t>
  </si>
  <si>
    <t>4603418017231</t>
  </si>
  <si>
    <t>Лук батун Апрельский (А\б)</t>
  </si>
  <si>
    <t>Многолетний салатный сорт. На одном месте растет 4-5 лет. Раннеспелый, от начала весеннего отрастания (на второй год жизни) до первой срезки 20-25 дней. Листья нежные, сочные, долго не грубеющие. Вкус полуострый. Молодые листья срезают 3-4 раза за сезон. Урожайность около 2 кг/м2.</t>
  </si>
  <si>
    <t>4601729004933</t>
  </si>
  <si>
    <t>Лук Бессоновский репч. 1гр. (А\б)</t>
  </si>
  <si>
    <t>Раннеспелый сорт, созревает за 80-90 дней. Луковица округло-плоская, плотная, массой 35-50 г, лежкая. Вкус острый. Сухие чешуи желтого цвета, сочные - белые. Старый, хорошо зарекомендовавший себя у огородников сорт лука для потребления сразу после сбора и для зимнего хранения. Высокое содержание сухих веществ позволяет использовать его для консервирования и сушки.</t>
  </si>
  <si>
    <t>4601729005022</t>
  </si>
  <si>
    <t>Лук Стригуновский репч.1 гр (А\б)</t>
  </si>
  <si>
    <t>Сорт скороспелый (от всходов семян до созревания севка - 65-109 суток). Малогнездный.  Луковица округлая с небольшим сбегом вверх и вниз. Окраска сухих чешуй желтая, иногда с розовым оттенком, сочных чешуй - белая. Масса луковицы - 45-80 г. Вкус острый.</t>
  </si>
  <si>
    <t>4601729112560</t>
  </si>
  <si>
    <t>Лук Халцедон репч.1гр.(А/б)</t>
  </si>
  <si>
    <t>Преимущество сорта в том, что товарные луковицы из семян формируются за один сезон. Исключается необходимость в выращивании и хранении севка. Сорт среднеспелый, период вегетации 90-120 дней. Луковица одно- трехзачатковая, плотная, массой 90-140 г. Сочные внутренние чешуи белые, вкус среднеострый. Товарная урожайность репки 4-7 кг/м2. Вызреваемость луковиц перед уборкой 98%, после дозаривания 100%. Сорт устойчив к пероноспорозу.</t>
  </si>
  <si>
    <t>4601927086717</t>
  </si>
  <si>
    <t>Мелисса Лимонный аромат (А\б)</t>
  </si>
  <si>
    <t>Многолетнее, свето- и влаголюбивое растение. Стебель прямостоячий, ветвистый, высотой 100-120 см, листья яйцевидные. Ценится за высокое содержание органических кислот, каротина, эфирных масел. Молодые побеги и листья имеют приятный лимонный запах и горьковато-приятный вкус. Используют мелиссу лимонную в кулинарии в качестве пряности и приправы, а также как лекарственное растение, в виде настоев и компрессов.</t>
  </si>
  <si>
    <t>4601927072512</t>
  </si>
  <si>
    <t>Морковь Витаминная 2гр. (А\б)</t>
  </si>
  <si>
    <t>4601729112591</t>
  </si>
  <si>
    <t>Морковь Детская сладость (А\б)</t>
  </si>
  <si>
    <t>Среднеспелый (150-160 дней от всходов до технической спелости) сорт. Розетка листьев полураскидистая. Корнеплод ярко-оранжевый, цилиндрический с тупым кончиком, длиной 17-20 см, массой 105-200 г, лежкий. Мякоть сладкая, сочная, хрустящая, с повышенным содержанием каротина. Посев семян в грунт производится в конце апреля – начале мая на глубину 1 см, расстояние между рядками 18-20 см. Рекомендуется для детского и диетического питания. Сорт отлично подойдет для выращивания на раннюю пучковую продукцию. Урожайность 3,7-6,2 (до 7,3 кг/м2).</t>
  </si>
  <si>
    <t>4601729046933</t>
  </si>
  <si>
    <t>Морковь Император 2г (А\б)</t>
  </si>
  <si>
    <t>Среднеспелый сорт иностранной селекции, обладает стабильной урожайностью, хорошими вкусовыми качествами, отличной лежкостью.  Корнеплод крупный, цилиндрический, усеченный, с тупым кончиком, ярко-оранжевый. Сердцевина небольшая, оранжевая, мякоть плотная, сочная, хрустящая. Масса корнеплода 100-160 г.</t>
  </si>
  <si>
    <t>4631729084680</t>
  </si>
  <si>
    <t>Морковь Королева осени 2г (А\б)</t>
  </si>
  <si>
    <t>Позднеспелый сорт. Урожай варьируется от 5,1 до 5,3 кг. Спелость наступает к 120-130 дню. Имеет вид цилиндра длиной до 22-24 см. Цвет оранжево-красный. Вес - 80-160 гр. Отличается хорошими характеристиками вкуса. Лежкий.</t>
  </si>
  <si>
    <t>4601729175558</t>
  </si>
  <si>
    <t>Морковь Курода Шантанэ 1 г (А\б)</t>
  </si>
  <si>
    <t>Раннеспелый урожайный сорт для зимнего хранения. Отличается уникальным сочетанием раннеспелости и лежкости. Корнеплод короткий, конический с тупым кончиком, массой 90-160 г. Вкус отличный. Товарная урожайность более 5 кг/м2, выход товарной продукции 96%.</t>
  </si>
  <si>
    <t>4601729196027</t>
  </si>
  <si>
    <t>Морковь Лонге роте (Длинная тупая без сердцевины) 2г (А\б)</t>
  </si>
  <si>
    <t>Высокоурожайный среднеспелый сорт (от всходов до технической зрелости 70-110 дней).Сорт с высоким содержанием каротина, лежкий
Прекрасно подходит для приготовления свежевыжатого сока. Сорт устойчив к растрескиванию и цветушности.</t>
  </si>
  <si>
    <t>4601989072529</t>
  </si>
  <si>
    <t>Морковь Лосиноостровская 13,  2 г (А\б)</t>
  </si>
  <si>
    <t>Сорт среднеспелый (период от всходов до технической спелости 80-104 дня). Корнеплод оранжевый, длиной 15 см, массой корнеплода 65-155 г. Кончик коренплода тупой или заостренный. Сердцевина маленькая, округлая, одинакового цвета с мякотью. Мякоть оранжевая, нежная, сочная. Вкусовые качества отличные.</t>
  </si>
  <si>
    <t>4601729005121</t>
  </si>
  <si>
    <t>Морковь Московская зимняя А 515, 2 гр. (А\б)</t>
  </si>
  <si>
    <t>Среднеспелый сорт с высокой урожайностью – 5-7 кг/м2. Сортотип Шантенэ. Корнеплоды массой 100-180 г, с прекрасными вкусовыми качествами. Рекомендуется для потребления в свежем виде и длительного зимнего хранения. Сорт устойчив к цветушности.</t>
  </si>
  <si>
    <t>4601927092343</t>
  </si>
  <si>
    <t>Морковь Нантская 4, 2гр. (А\б)</t>
  </si>
  <si>
    <t>Среднеспелый сорт (период от всходов до технической спелости 70-100 дней). Корнеплоды оранжевые, цилиндрические,тупоконечные, длиной 16 см, массой 95-160 г. Окраска поверхности, мякоти и сердцевины корнеплода – оранжевая. Мякоть сочная, нежная, сладкая. Сердцевина небольшая, округлая, по окраске не отличается от мякоти. Лежкость хорошая. Урожайность 2,5-6,6 кг/м2. Рекомендуется для потребления в свежем виде и зимнего хранения.</t>
  </si>
  <si>
    <t>4601929032538</t>
  </si>
  <si>
    <t>Морковь Нантская красная 2г (А\б)</t>
  </si>
  <si>
    <t>Среднеспелый сорт, от всходов до уборки урожая 100-110 дней. Корнеплоды цилиндрические (сортотип Берликум-Нантская), длиной 15-20 см, массой 90-200 г. Поверхность гладкая, мякоть сочная.</t>
  </si>
  <si>
    <t>4601729035876</t>
  </si>
  <si>
    <t>Морковь Осенний король 2г (А\б)</t>
  </si>
  <si>
    <t>Высокоурожайный, среднеспелый сорт (период от всходов до уборки урожая 110-115 дней). Один из самых лучших сортов с повышенным содержанием каротина и сахаров, незаменим в диетическом и детском питании. Корнеплоды цилиндрические с тупым кончиком, длиной до 20-23 см, красно-оранжевые, с небольшой сердцевиной. Мякоть соч-
ная, нежная, сладкая. Отличная лежкость, сохраняет питательную ценность вплоть до нового урожая.</t>
  </si>
  <si>
    <t>4601729077371</t>
  </si>
  <si>
    <t>Морковь Ройал Форто 2г. (А\б)</t>
  </si>
  <si>
    <t>Среднепоздний урожайный сорт, рекомендуется для свежего потребления и длительного хранения. Корнеплод цилиндрический с тупым кончиком, оранжевый, длиной 20 см, массой 90-110 г. Вкус  отличный.</t>
  </si>
  <si>
    <t>4601729005169</t>
  </si>
  <si>
    <t>Морковь Роте Ризен 2г. (А\б)</t>
  </si>
  <si>
    <t>Высокоурожайный поздний сорт. От всходов до уборки 140 дней. Корнеплод удлиненно-конусовидной формы (сортотип Флакке), массой 100-140 г. Вкусовые качества хорошие. Урожайность 6-12 кг/м2. Лежкость хорошая – продукция хранится до конца марта.</t>
  </si>
  <si>
    <t>7601597038549</t>
  </si>
  <si>
    <t>Морковь Самсон (А/б)</t>
  </si>
  <si>
    <t>Среднеспелый сорт голландской селекции, от всходов до уборки урожая 100-120 дней. Отличается превосходной лежкостью корнеплодов. Корнеплоды цилиндрические (нантского сортотипа), длиной 16-20 см, массой 130-150. Мякоть сочная, с отличными вкусовыми качествами, сердцевина маленькая.</t>
  </si>
  <si>
    <t>4601927088698</t>
  </si>
  <si>
    <t>Огурец Аннушка F1 10 шт. (А\б)</t>
  </si>
  <si>
    <t>Превосходный среднеранний пчелоопыляемый гибрид. Период от всходов до первого сбора плодов 45-50 дней. Предназначен для открытого грунта и пленочных теплиц. Растения мощные, преимущественно женского типа цветения. Зеленцы цилиндрические, бугорчатые, белошипые, массой 80-100 г, долго не желтеют. Вкус отличный, огурчики хрустящие, сочные, без горечи.</t>
  </si>
  <si>
    <t>4601729162442</t>
  </si>
  <si>
    <t>Огурец Бидретта F1 10 шт.  (А\б)</t>
  </si>
  <si>
    <t>Раннеспелый гибрид женского типа цветения. Урожайный. Плоды красивые, мелкобугорчатые, великолепны для консервирования. Устойчив к оливковой пятнистости, мучнистой росе.</t>
  </si>
  <si>
    <t>4601729162459</t>
  </si>
  <si>
    <t>Огурец Бочковой F1, 10 шт. (А\б)</t>
  </si>
  <si>
    <t>Исключительно женского типа цветения, завязь букетная в пазухе 3-4 завязи. Зеленец темно-зеленый, длиной 7-9 см, цилиндрической формы, мелкобугорчатый. Гибрид пригоден для потребления в свежем виде, засолке в бочках. Отличный вкус и внешний вид огурцов в сочетании с высокой урожайностью позволяют использовать их не только для собственного потребления, но и на продажу.</t>
  </si>
  <si>
    <t>4603418020682</t>
  </si>
  <si>
    <t>Огурец Журавленок F1  (А\б)</t>
  </si>
  <si>
    <t>Среднеранний (48-54 дня от всходов до плодоношения) пчелоопыляемый гибрид, предназначен для выращивания в открытом грунте и под временными пленочными укрытиями.</t>
  </si>
  <si>
    <t>4603418020705</t>
  </si>
  <si>
    <t>Огурец Засолочный 10 шт. (А\б)</t>
  </si>
  <si>
    <t>Раннеспелый (45-47 дней от всходов до плодоношения), пчелоопыляемый, салатный и засолочный сорт. Рекомендуется для выращивания в открытом грунте.  Растение длинноплетистое, индетерминантное, среднерослое, средневетвистое, спешанного типа цветения. Лист крупный, зеленый, среднеморщинистый. Зеленец удлиненно-цилиндрический, крупнобугорчатый (бугорки редкие), зеленый со светлыми полосами средней длины и крупными пятнами неправильной формы, опушение черное. Длина зеленца 11,2-11,4 см, диаметр - 3,8-3,9 см. Масса зеленца 100-125 г.</t>
  </si>
  <si>
    <t>4601729162480</t>
  </si>
  <si>
    <t>Огурец Изящный 15 шт, пч  (А\б)</t>
  </si>
  <si>
    <t>Раннеспелый (40-50 дней), пчелоопыляемый, для открытого грунта, среднеплетистый. Устойчив к оливковой пятнистости, обладает высокой холодостойкостью. Плоды мелкобугорчатые, белошипые, длиной 10-13 см, массой 140 г. Урожайность 1,1- 7,2 кг/м2.</t>
  </si>
  <si>
    <t>4601929038332</t>
  </si>
  <si>
    <t>Огурец Конни F1 (А\б)</t>
  </si>
  <si>
    <t>Высокоурожайный  партенокарпический  гибрид  с  длительным  периодом плодоношения.  Среднеранний,  плодоносит на 47-50 день от всходов. Наиболее полно реализует свой потенциал под пленочными укрытиями, но можно выращивать и  в  открытом  грунте.  Формирует  сильнорослые  растения женского  типа  цветения,  с  пучковым  заложением  завязей в узлах.  Зеленец очень короткий,  7-9  см,  часто мелкобугорчатый,  белошипый,  массой 60-80 г.</t>
  </si>
  <si>
    <t>4601729162510</t>
  </si>
  <si>
    <t>Огурец Кустовой * 15 шт. (А\б)</t>
  </si>
  <si>
    <t>Раннеспелый (46-49 дн.) с дружной отдачей урожая, короткоплетистый, засолочный сорт огурца для открытого грунта, пчелоопыляемый, размер зеленца 9-12 см.</t>
  </si>
  <si>
    <t>4601729162527</t>
  </si>
  <si>
    <t>Огурец Либелле F1 10 шт. (А/б)</t>
  </si>
  <si>
    <t>Высокоурожайный среднеспелый пчелоопыляемый гибрид, период от всходов до плодоношения 49-52 дня. Рекомендуется для открытого грунта и пленочных укрытий. Урожайность 8-10 кг/м2. Растения преимущественно женского типа цветения. Плоды веретеновидные, мелкобугорчатые, длиной 10-13 см, массой 100-140 г, плотные, хрустящие. Вкус отличный, без горечи. Отлично подходят для потребления в свежем виде, соления и маринования. Особая ценность гибрида - повышенная урожайность в конце лета и устойчивость к основным болезням культуры.</t>
  </si>
  <si>
    <t>4601927054747</t>
  </si>
  <si>
    <t>Огурец Малыш  10 шт., пч (А\б)</t>
  </si>
  <si>
    <t>Ультраскороспелый, пчелоопыляемый, кустовой сорт, открытого грунта, салатного и консервного назначения. Каждое растение дает до 47 плодов массой 80-120 г. Зеленец эллипсовидной формы, крупнобугорчатый, с белым опушением, длиной 10 см. Ценность сорта - раннеспелость, дружная отдача урожая, высокая товарность - до 96%, хорошие вкусовые качества.</t>
  </si>
  <si>
    <t>4601927003387</t>
  </si>
  <si>
    <t>Огурец Моравский корнишон F1 10 шт. пч (А\б)</t>
  </si>
  <si>
    <t>Раннеспелый (40-45 дней от всходов до созревания плодов) пчелоопыляемый сорт для выращивания в открытом грунте. Растение среднеплетистое, сильнорослое, преимущественно женского типа цветения. Плоды веретеновидной формы, зеленые, среднебугорчатые, короткие, массой 68-94 г.</t>
  </si>
  <si>
    <t>4601729162558</t>
  </si>
  <si>
    <t>Огурец Нежинский 15 шт. (А\б)</t>
  </si>
  <si>
    <t>Позднеспелый, длинноплетистый, засолочный. Для открытого грунта и пленочных теплиц. Плоды удлиненно-яйцевидные, темно-зеленые, крупнобугорчатые с черным опушением, хороших вкусовых качеств в свежем и соленом виде. Ради превосходного вкуса эти огурцы стоит выращивать в любой зоне, однако в Нечерноземье хороший урожай можно получить только при выращивании через рассаду и под пленкой.</t>
  </si>
  <si>
    <t>4601927009839</t>
  </si>
  <si>
    <t>Огурец Обильный 10 шт. пч  (А\б)</t>
  </si>
  <si>
    <t>Пчелоопыляемый. Среднеранний, в плодоношение вступает на 46 день после всходов. Растение среднеплетистое, длиной 115-125 см с сильным ветвлением. Зеленец эллипсовидный, редко бугорчатый с белым опушением, длиной 10-12 см, массой 90-125 г. Вкусовые качества свежих и консервированных плодов хорошие.</t>
  </si>
  <si>
    <t>4601729162572</t>
  </si>
  <si>
    <t>Огурец Отело F1 * 10 шт. (А\б)</t>
  </si>
  <si>
    <t>Раннеспелый гибрид огурца (42-45 дн.) Селекции голландской фирмы Садоз сидс. Хорошо подходит для выращивания в стеклянных и пленочных теплицах и открытом грунте. Зеленец цилиндрический, мелкобугорчатый, без горечи, длиной 6-8 см. Устойчив к основным болезням. Используется для потребления в свежем виде и консервирования. Урожайность более 10 кг/м</t>
  </si>
  <si>
    <t>4601729162589</t>
  </si>
  <si>
    <t>Огурец Пальчик 10 шт, пч (А\б)</t>
  </si>
  <si>
    <t>Раннеспелый, пчелоопыляемый, салатный, консервный и засолочный. Растение индетерминантное, сильноплетистое, средневетвистое, преимущественно женского типа цветения, с пучковым заложением завязей.Зеленец цилиндрической формы, темно-зеленой окраски, с полосами средней длины и слабо выраженной пятнистостью, ребристый, крупнобугочатый, бугорки редкие, опушение белое. Масса плода 114-120 г, длина 9,2-12,7 см, диаметр 2,7-3,4 см. Вкусовые качества свежих, соленых и консервированных плодов отличные.</t>
  </si>
  <si>
    <t>4601729162596</t>
  </si>
  <si>
    <t>Огурец Парижский корнишон 15 шт. (А/б)</t>
  </si>
  <si>
    <t>Пчелоопыляемый сорт огурца для открытого грунта с дружной отдачей урожая. Среднеспелый (40-45 дн.), засолочный. Плоды крупнобугорчатые, не большие темно- зеленого цвета, который не ухудшается при консервировании, прекрасного вкуса. Зеленец 8-11 см, массой 80-100 г. Сорт обладает комплексной устойчивостью к болезням.</t>
  </si>
  <si>
    <t>4603418020903</t>
  </si>
  <si>
    <t>Огурец Родничок 10 шт., пч (А\б)</t>
  </si>
  <si>
    <t>Среднеспелый пчелоопыляемый гибрид для открытого грунта и пленочных укрытий. От всходов до начала плодоношения 49-55 дней. В узле формируется по 2-3 плода. Зеленцы цилиндрические, крупнобугорчатые, черношипые, массой 85-110 г, без горечи. Огурчики обладают великолепными вкусовыми качествами и идеальными засолочными свойствами. Высокоурожайный, под пленкой дает 25 кг/м2.</t>
  </si>
  <si>
    <t>4601729162619</t>
  </si>
  <si>
    <t>Огурец Серпантин 15 шт, пч (А/б)</t>
  </si>
  <si>
    <t>Раннеспелый сорт сибирской селекции для открытого грунта. Пчелоопыляемый. От всходов до первого сбора 36-40 дней. Зеленцы черношипые, массой 80-115 г.
Вкусовые качества плодов высокие. Рекомендуется для свежего потребления и консервирования. Урожайность 4-5 кг/м2.</t>
  </si>
  <si>
    <t>4601729162626</t>
  </si>
  <si>
    <t>Огурец Тополек 10 шт., пч (А\б)</t>
  </si>
  <si>
    <t>Раннеспелый, пчелоопыляемый гибрид для открытого грунта и теплиц. От всходов до начала плодоношения 45-50 дней. Зеленцы массой 120-150 г, крупно- редкобугорчатые, опушение белое и бурое. Вкус отличный. Используются в свежем виде и для консервирования. Урожайность в о/г 6 кг/м2, в теплицах – 12-20 кг.</t>
  </si>
  <si>
    <t>4601729162688</t>
  </si>
  <si>
    <t>Патиссон НЛО Оранжевый 12 шт. (А\б)</t>
  </si>
  <si>
    <t>Раннеспелый (55-70 дней от полных всходов до технической спелости) сорт. Растение кустовое, главная плеть короткая. Лист среднего размера, зеленый, слаборассеченный, без пятнистости. Плод тарелочной формы, в технической спелости светло-желтый, глянцевый. Масса плода 280-500 г. Мякоть оранжево-желтая, плотная, малосочная. Вкус хороший и отличный. Посев на рассаду – в апреле, высадка в грунт в мае – июне. Посев непосредственно в грунт в конце мая – июне. Хорошо отзывается на внесение органических удобрений. Урожайность товарных плодов 2,9-5,5 кг/кв.м. Рекомендуется для столовых целей и консервирования.</t>
  </si>
  <si>
    <t>4601729162695</t>
  </si>
  <si>
    <t>Патиссон Чебурашка (А/б)</t>
  </si>
  <si>
    <t>Раннеспелый кустовой сорт. Обилие завязей! Созревает на 8-10 дней раньше других сортов (на 35-38 день). Плоды некрупные, массой 200-400 г, с тонкой корой. Мякоть белая, сочная, нежная. Сорт хорошо завязывает плоды, длительное время плодоносит. Устойчив к пониженной температуре. Идеален для консервирования и домашней кулинарии.</t>
  </si>
  <si>
    <t>4601729162701</t>
  </si>
  <si>
    <t>Перец Агаповский * 15 шт. (А\б)</t>
  </si>
  <si>
    <t>Надежный раннеспелый сорт для открытого грунта и пленочных укрытий с компактными растениями. Плоды высокого качества - мясистые, призмовидные, зеленые/красные, массой в среднем 120 г, толстостенные, универсального использования. Урожайность под пленкой свыше 10 кг/м2.</t>
  </si>
  <si>
    <t>4601729162718</t>
  </si>
  <si>
    <t>Перец Белозерка * 15 шт. (А\б)</t>
  </si>
  <si>
    <t>Популярный среднеранний сорт для о/г. От всходов до начала плодоношения 110-115 дней. Высота растений 40-70 см. Плод конусовидный, в технической спелости кремовый, в биологической -  красный. Масса 90-130 г, толщина стенки 6,5-7,5 мм. Универсальный.</t>
  </si>
  <si>
    <t>4601729162725</t>
  </si>
  <si>
    <t>Перец Богатырь * 15 шт.  (А\б)</t>
  </si>
  <si>
    <t>Надежный сорт приднестровской селекции. Среднеспелый, от всходов до уборки 115 дней. Растения высотой 60-70 см, с хорошей нагрузкой плодами. Плоды крупные, конусовидные с ребристой вершиной, массой до 200 г, толстостенные – 5-6 мм. Вкус отличный. Урожайность стабильная, 5-6 кг/м2.</t>
  </si>
  <si>
    <t>4601729162732</t>
  </si>
  <si>
    <t>Перец Винни-Пух * 15 шт. (А\б)</t>
  </si>
  <si>
    <t>Скороспелый. Период от всходов до технической спелости 107-111 дней. Растение детерминантное, небольшое, компактное, штамбовое, высотой 25-30 см с букетным расположением плодов. Подходит для выращивания на окне. Для получения максимального урожая растения высаживают загущенно. Плод конусовидной формы с заостренной верхушкой, массой 48-60 г. Толщина стенки 5-6 мм. Окраска в технической спелости салатная, в биологической красная. Сорт отличается высоким содержанием витамина С в плодах, благодаря этому они не только вкусны, но и полезны. Устойчив к вирусу табачной мозаики и вершинной гнили. Пригоден для транспортировки и длительного хранения.</t>
  </si>
  <si>
    <t>4601729162749</t>
  </si>
  <si>
    <t>Перец Здоровье 15 шт. (А\б)</t>
  </si>
  <si>
    <t>Один из самых раннеспелых сортов, от всходов до технической спелости 80-90 дней, для выращивания в пленочных теплицах. Растение высокое, полураскидистое. Плоды конусовидной формы, красные, толщина стенки 3-4 мм, массой 40-50 г, завязываются при любых погодных условиях. Устойчивость к болезням высокая.</t>
  </si>
  <si>
    <t>4601729162756</t>
  </si>
  <si>
    <t>Перец Калифорнийское чудо * 15 шт. (А\б)</t>
  </si>
  <si>
    <t>Среднеранний сорт. От всходов до технической спелости 100-130 дней. Растение детерминантное. Плоды кубовидные, гладкий, глянцевый, толщина стенок 6-7 мм. Масса 80-130 г. Используются в свежем виде и всех видах переработки.</t>
  </si>
  <si>
    <t>4601729162763</t>
  </si>
  <si>
    <t>Перец Калифорнийское чудо желтое 15 шт. (А\б)</t>
  </si>
  <si>
    <t>Раннеспелый сорт для о/г и з/г (100-110 дней от всходов). Растения высотой 80-100 см, одновременно завязывают 6-8 плодов. Перцы ярко-желтые, кубовидные, массой 100-130 г, (стенка 6-8 мм), сочные, сладкие и ароматные. Сорт устойчив к ВТМ.</t>
  </si>
  <si>
    <t>4601729162770</t>
  </si>
  <si>
    <t>Перец Кубышка * 15 шт. (А\б)</t>
  </si>
  <si>
    <t>Раннеспелый сорт (период от полных всходов до начала технической спелости плодов 100-105 дней). Растение высотой 100-110 см. Плоды цилиндрической формы, глянцевые, в биологической спелости – красные. Масса 240-250 г, толщина стенки средняя. Сорт ценится за повышенное содержание витаминов. Плоды используются в свежем виде, в домашней кулинарии и для консервирования.</t>
  </si>
  <si>
    <t>4601729162787</t>
  </si>
  <si>
    <t>Перец Подарок Молдовы * 15шт. (А\б)</t>
  </si>
  <si>
    <t>Среднеспелый сорт для открытого грунта и пленочных тоннелей. От всходов до технической спелости 120 – 130 дней. Растение полураскидистое, полуштамбовое, высотой 35-45 см. Плод пониклый, конусовидный, массой 70-90 г. Толщина стенки 4-6 мм. Мякоть сочная и сладкая. Окраска плода в технической спелости светло-зеленая, в биологической темно-красная. Универсального назначения. Устойчив к вертициллезному увяданию. Урожайность до 7 кг/кв.м.</t>
  </si>
  <si>
    <t>4601927061363</t>
  </si>
  <si>
    <t>Петрушка Бабушкина грядка кудрявая 2гр (А\б)</t>
  </si>
  <si>
    <t>Раннеспелый листовой сорт кудрявой петрушки. Розетка листьев полувертикальная. Лист светло-зеленый, крупный, кудрявый, сильногофрированный, на толстом длинном черешке, очень ароматный. Масса одного растения в открытом грунте 30-40 г, в светокультуре - 100-110 г. Зелень хорошо отрастает после срезки и продолжительный период сохраняет товарный вид. Использование универсальное.</t>
  </si>
  <si>
    <t>4601927043048</t>
  </si>
  <si>
    <t>Петрушка Богатырь, листовая  2гр (А\б)</t>
  </si>
  <si>
    <t>Универсальный высокоурожайный позднеспелый сорт. Период от всходов до уборки 90-140 дней. Розетка листьев полуприподнятая. Лист крупный, темно-зеленый, треугольной формы. Растение формирует корнеплод. Листья и корнеплоды имеют нежный и приятный вкус, высокую ароматичность. Ценность сорта: высокая урожайность, теневыносливость. Зелень хорошо отрастает после срезки. Универсальное использование зелени и корнеплода.</t>
  </si>
  <si>
    <t>4601729036279</t>
  </si>
  <si>
    <t>Петрушка Бутербродная листовая (А\б)</t>
  </si>
  <si>
    <t>Среднеспелый сорт петрушки, холодостойкая. Период от появления всходов до среза листьев - 60-80 дней. Листья - среднего размера, треугольные, с ярко выраженным ароматом. Быстро отрастает после среза. Богата витаминами.</t>
  </si>
  <si>
    <t>4601729035968</t>
  </si>
  <si>
    <t>Петрушка Итальянский гигант, листовая 2г (А\б)</t>
  </si>
  <si>
    <t>Среднеспелый сорт (65-70 дней от всходов до уборки на зелень). Имеет крупную, полувертикальную розетку, высотой от 32 до 60 см, в которой формируется 20-25 листьев. Листья треугольной формы, темно-зеленые, среднего размера, очень ароматные. Этот сорт хорошо отрастает после срезки. Черешок средней длины со слабым антоцианом. Корневища перезимовывают в почве и быстро дают свежую зелень ранней весной. Прекрасно подходит для выгонки зелени в зимне-весенний период, для получения раннего урожая на второй год после посева. Урожайность около 3,0 кг/м2. Сорт теневынослив.</t>
  </si>
  <si>
    <t>4601729061332</t>
  </si>
  <si>
    <t>Петрушка корневая сахарная 2г. (А\б)</t>
  </si>
  <si>
    <t>Скороспелый (77–84 дня) высокоурожайный сорт. Корнеплоды конические, остроконечные, с белой мякотью, средней длиной 15 см, массой 60 г. Характеризуются высоким содержанием витаминов и сухих веществ, отличными вкусовыми качествами.</t>
  </si>
  <si>
    <t>7601217006873</t>
  </si>
  <si>
    <t>Петрушка кудрявая Мооскраузе 2г. (А\б)</t>
  </si>
  <si>
    <t>Раннеспелый (65-70 дней от всходов до технической спелости) листовой сорт. Розетка крупная, полураскидистая. Листья зеленые, с гофрированными краями. Обладает приятным запахом и вкусом благодаря наличию в листьях эфирных масел. Посев в грунт проводится в конце апреля - начале мая на глубину 1,5-2,0 см. Перед посевом семена замачивают во влажной ткани в течение 2-3 дней. Листья петрушки для потребления в свежем виде начинают срезать, когда они достигнут высоты 10-12 см, для сушки - во время бутонизации. Средняя масса одного растения 45-50 г. Общий урожай зелени при многократной уборке достигает 2,0-2,5 кг/м2.</t>
  </si>
  <si>
    <t>4601729072598</t>
  </si>
  <si>
    <t>Петрушка листовая 2 гр. (А\б)</t>
  </si>
  <si>
    <t>Скороспелый сорт. Период от всходов до технической спелости 70-80 дней. Розетка сильно развита, число листьев от 40 до 100. Лист сильнорассеченный, с тройчатыми долями и зубчато надрезанными краями. Гладкий. Длина листа 59 см, длина черешка -14 см, ширина 0,5 см. Корень в верхней части цилиндрический, у основания разветвляющийся. Окраска серовато-белая, внутри - белая. Сердцевина бледно-желтая.</t>
  </si>
  <si>
    <t>4601729036286</t>
  </si>
  <si>
    <t>Петрушка Универсал, листовая 2г  (А/б)</t>
  </si>
  <si>
    <t>Среднеспелый, холодостойкий сорт. Период от всходов до массовой срезки 60 дней. Особенностью сорта является крупный лист, привлекательный внешний вид и продол-жительный период уборки зелени. Розетка листьев крупная, с высокой продуктивностью зеленой массы. Листья с крупными долями, с сильной ароматичностью, высоких товарных качеств. Хорошо отрастают после срезки. Масса одного растения 60-80 г, урожайность за сезон – 2,8-4,9 кг/м2. Для потребления в свежем, сушеном и консервированном виде.</t>
  </si>
  <si>
    <t>4601729135552</t>
  </si>
  <si>
    <t>Подсолнечник Лакомка 5гр. (А/б)</t>
  </si>
  <si>
    <t>Подсолнечник</t>
  </si>
  <si>
    <t>Раннеспелый сорт кондитерского направления использования. Растение высокорослое. Корзинка большая, плоская. Семена крупные, овально-удлиненные, черные, ровные. Ценность сорта: устойчивость к мучнистой росе, выравненность растений по высоте, дружность цветения, хорошая созреваемость и отличное качество семян, высокое содержание жира и белка. Является медоносом.</t>
  </si>
  <si>
    <t>4601929138971</t>
  </si>
  <si>
    <t>Редис Дуро краснодарское 2 г (А\б)</t>
  </si>
  <si>
    <t>Среднеспелый сорт с дружным формированием выровненных, привлекательных корнеплодов. Корнеплоды красного цвета, гладкие, округлой формы с тоненьким хвостиком, массой 23-25 г. Мякоть плотная, хрустящая, нежная и сочная, удивительно вкусная.</t>
  </si>
  <si>
    <t>4601729158988</t>
  </si>
  <si>
    <t>Редис Жара 2г (А/б)</t>
  </si>
  <si>
    <t>Сорт скороспелый (срок созревания 18-27 дней с момента появления всходов), урожайный. Корнеплоды темно-красные, округлые, массой 18-27 г. Мякоть белая и бело-розовая, плотная, нежная, сочная, слабо-острого вкуса. Корнеплод почти полностью погружен в почву. Урожайность 1,1-2,8 кг/м2. Рекомендуется для ранней выгонки в защищенном и открытом грунте.</t>
  </si>
  <si>
    <t>4601729158995</t>
  </si>
  <si>
    <t>Редис Заря 2гр. (А\б)</t>
  </si>
  <si>
    <t>Скороспелый сорт. От полных всходов до технической спелости 18-25 дней. Корнеплод темно-красный, округло-овальный, массой 18-20 г. Мякоть белая, сочная, без горечи. Вкусовые качества отличные. Рекомендуется для выращивания в открытом грунте, в весенних теплицах и пленочных укрытиях.</t>
  </si>
  <si>
    <t>4601729159084</t>
  </si>
  <si>
    <t>Редис Родос 2г. (А\б)</t>
  </si>
  <si>
    <t>Сорт раннеспелый (срок созревания 19-28 дней от появления всходов), урожайный. Корнеплод округлый, красные, в верхней части ярко-красные, массой 15-25 г, очень выравненные, с дружной отдачей урожая. Мякоть белая, сочная, хорошего вкуса. Урожайность 0,5-0,8 г/м2. Рекомендуется для выращивания в открытом и защищенном грунте.</t>
  </si>
  <si>
    <t>4601729159107</t>
  </si>
  <si>
    <t>Редис Рубин 2 г (А\б)</t>
  </si>
  <si>
    <t>Сорт скороспелый, высокоурожайный, отличных вкусовых качеств. Предназначен для выращивания в открытом и защищенном грунте.
Корнеплоды округлой формы, рубиново-красного цвета. Мякоть белая, сочная, слабо-острая на вкус. Масса корнеплода 20-28 г. Урожайность 2,0-2,5 кг/м². 
Отличается дружной отдачей урожая. Устойчив к цветушности.</t>
  </si>
  <si>
    <t>4601729159114</t>
  </si>
  <si>
    <t>Редис Сакса 2 г  (А\б)</t>
  </si>
  <si>
    <t>Сорт раннеспелый (20-23 дня от появления всходов до технической спелости). Корнеплод округло-овальной формы, темно-красного цвета. Мякоть белая, сочная, слабо-острого вкуса. Устойчив к цветушности, рекомендуется для открытого и защищенного грунта.</t>
  </si>
  <si>
    <t>4601729159138</t>
  </si>
  <si>
    <t>Редис Французский завтрак 2г (А\б)</t>
  </si>
  <si>
    <t>Сорт скороспелый (срок созревания 21-25 дней от появления всходов), урожайный. 
Корнеплоды цилиндрические, розово-красные с белым кончиком, массой 15-30 г. Мякоть белая, иногда нежно-розовая, сочная, хорошего вкуса. 
Рекомендуется для выращивания в открытом и защищенном грунте.</t>
  </si>
  <si>
    <t>4601729061356</t>
  </si>
  <si>
    <t>Редька белая Майская 1гр. (А\б)</t>
  </si>
  <si>
    <t>Раннеспелый сорт  (период  от полных всходов до начала технической спелости55-65 дней, предназначенный для выращивания в открытом грунте. Корнеплоды  белого цвета, ровные, округло-сжатой формы, с плоской головкой, массой 80-130 г. Мякоть сочная, белая, вкусная, богата углеводами, белками, витамином С и минеральными солями. Не растрескиваются. Предназначена для потребления в свежем виде. Прямостоячая розетка листьев облегчает уборку. Урожайность 4,8 кг/кв.м. Сорт устойчив к цветушности, что продлевает срок выращивания на весь теплый сезон.</t>
  </si>
  <si>
    <t>4601729043215</t>
  </si>
  <si>
    <t>Редька Маргеланская, китайская  1г (А\б)</t>
  </si>
  <si>
    <t>Популярный среднеспелый сорт. Формирует урожай за 60-65 дней.  Корнеплод массой 250-300 г, сочный, с белой и светло-зеленой мякотью. Вкус слабо-острый, без горечи. Рекомендуется посев в 2 срока: ранневесенний - для летнего потребления и июльский - для закладки на хранение. Урожайность 3,5-5 кг/м2.</t>
  </si>
  <si>
    <t>4601729035999</t>
  </si>
  <si>
    <t>Редька Чернавка (А/б)</t>
  </si>
  <si>
    <t>Позднеспелый (90-100 дней от всходов до технической спелости) сорт. Корнеплод округлый, с округлым основанием, черный, длиной 10 см, диаметром 8-10 см, головка большая, плоская, черная, мякоть белая, нежная, очень сочная, корнеплод погружен в почву на 1/8 длины. Масса 240-260 г. Высевают в июле. Урожайность 3,20-3,50 кг/м2. Рекомендуется для свежего потребления и хранения. Ценность сорта: высокая урожайность, выравненность корнеплодов, хорошая лежкость, устойчивость к низким температурам.</t>
  </si>
  <si>
    <t>4601729005664</t>
  </si>
  <si>
    <t>Редька черная Зимняя  1гр. (А\б)</t>
  </si>
  <si>
    <t>Среднеспелый, высокоурожайный, лежкий сорт. От всходов до технической спелости 70-90 дней. Корнеплод округло-плоский, гладкий, иногда бороздчатый, массой 250-500 гр. Мякоть плотная, белая, сочная, приятного слабоострого вкуса. Лежкость отличная.</t>
  </si>
  <si>
    <t>4603418021436</t>
  </si>
  <si>
    <t>Репа Петровская 1гр. (А\б)</t>
  </si>
  <si>
    <t>Сорт среднеранний (от всходов до технической спелости - 60-84 дня). Форма корнеплода плоская или плоскоокруглая с вогнутым донцем. Кора золотисто-желтая, гладкая, блестящая. Растения с бледно-фиолетовым окрашиванием относятся к сортовым. Мякоть золотисто-желтая, твердая, сочная, сладкая. Масса корнеплода - 60-150 г. Вкусовые качества отличные. Корнеплоды пригодны для хранения в осенне-зимний период.</t>
  </si>
  <si>
    <t>6607309111358</t>
  </si>
  <si>
    <t>Руккола (Индау) Широколистная (А\б)</t>
  </si>
  <si>
    <t>Раннеспелый, неприхотливый сорт. От всходов до выборочной срезки 14- 16 дней, до сплошной уборки 20-25 дней. Для выращивания в открытом грунте, под пленочными укрытиями и в контейнерной культуре на подоконниках и балконах. Розетка листьев высотой 20-30 см, диаметр 19-27 см, массой 18-30 г. Листья нежные, сочные, с приятным пикантным вкусом. Используются в салатах, бутербродах и гарнирах.</t>
  </si>
  <si>
    <t>4601729157530</t>
  </si>
  <si>
    <t>Салат Бэби Здорово живем, смесь 0,3 гр. (А\б)</t>
  </si>
  <si>
    <t>Смесь ароматных бэби салатов разных цветов и вкусов. Включает семена: горчица сарептская (салатная) Красный бархат; капуста китайская Аленушка, Лебедушка, Ласточка; капуста японская Мизуна; салат Десерт. Отлично растет на грядках и дома, в контейнерах (круглый год). Зелень срезают через 2 недели после всходов.</t>
  </si>
  <si>
    <t>4601729157547</t>
  </si>
  <si>
    <t>Салат Бэби Формула успеха, смесь 0,3 гр. (А\б)</t>
  </si>
  <si>
    <t>Смесь ароматных бэби салатов разных цветов и вкусов. Включает семена: капуста японская Мизуна, Русалочка; капуста китайская Четыре сезона, Краса Востока; кресс-салат Ванька Кучерявый; горчица сарептская (салатная) Чудеса в решете, Красный бархат. Отлично растет на грядках и дома, в контейнерах (круглый год). Зелень срезают через 2 недели от всходов.</t>
  </si>
  <si>
    <t>4601927112645</t>
  </si>
  <si>
    <t>Салат Лолло Бионда 0,5 гр (А/б)</t>
  </si>
  <si>
    <t>Раннеспелый, от всходов до полного развития розетки 30 дней. 
Формирует рыхлую, открытую головку высотой 20-25 см и массой 150 г.</t>
  </si>
  <si>
    <t>4603418021566</t>
  </si>
  <si>
    <t>Салат Лолло Росса (А\б)</t>
  </si>
  <si>
    <t>Раннеспелый (период от массовых всходов до хозяйственной годгости 40-50 дней). Листья нежные, хрустящие, красновато-розового цвета, гофрированные, очень декоративные. Отличается устойчивостью к цветушности и длительным периодом использования.</t>
  </si>
  <si>
    <t>4603418021573</t>
  </si>
  <si>
    <t>Салат Московский парниковый 0,5 гр. (А\б)</t>
  </si>
  <si>
    <t>Сорт листовой, скороспелый (от всходов до сбора урожая 35 дней). Листья бледно- зеленые, нежные, сочные, с хорошим вкусом. Масса растения - 94 г.</t>
  </si>
  <si>
    <t>4601729008511</t>
  </si>
  <si>
    <t>Салат Одесский кучерявец полукоч 0,5гр. (А\б)</t>
  </si>
  <si>
    <t>Популярный среднепоздний сорт. Устойчив к стеблеванию. Стабильно формирует в открытом грунте 2,5-2,7 кг/м2 качественной продукции. Розетка в полном развитии имеет вид рыхлого, открытого кочана Ø 25-30 см, массой 200 г. Лист хрустящий. Вкус отличный.</t>
  </si>
  <si>
    <t>4601729035906</t>
  </si>
  <si>
    <t>Салат-кресс Весенний (А\б)</t>
  </si>
  <si>
    <t>Раннеспелый сорт (период от всходов до начала хозяйственной годности 20-25 дней) отличается очень быстрым ростом. Розетка листьев в высоту 8-10 см, число листьев 10-12. В пищу используют свежие листья, приятного горчичного вкуса, богатые витаминами и минеральными солями.</t>
  </si>
  <si>
    <t>7401517035890</t>
  </si>
  <si>
    <t>Салат-кресс Забава 1г (А\б)</t>
  </si>
  <si>
    <t>Ультраскороспелый сорт для круглогодичного выращивания в защищенном грунте и в открытом грунте в течение всего сезона. От всходов до цветения 25-30 дней. Урожайность зеленой массы 0,7-1,0 кг/м2. Для получения зелени в непрерывном режиме проводят повторные посевы с интервалом 1-2 недели.</t>
  </si>
  <si>
    <t>4603418021672</t>
  </si>
  <si>
    <t>Свекла Бордо 237 3г (А\б)</t>
  </si>
  <si>
    <t>Популярный среднеспелый сорт, от всходов до уборки около 100 дней. Жаростойкий, устойчив к болезням и стрелкованию.  Корнеплоды округлые, массой 150-250 г. Мякоть темно-красная, без кольцеватости. Вкусовые качества отличные. Урожайность 7-8 кг/м2. Хорошая лежкость при зимнем хранении.</t>
  </si>
  <si>
    <t>4601729159688</t>
  </si>
  <si>
    <t>Свекла Бордо односемянная 2 гр (А/б)</t>
  </si>
  <si>
    <t>Среднеспелый сорт, период от всходов до начала технической спелости 105-120 дней. Корнеплоды округлые, выравненные, массой 150-220 г, погружены в почву наполовину, легко выдергиваются. Мякоть интенсивно красная, нежная, сочная, без кольцеватости. Вкусовые качества отличные.</t>
  </si>
  <si>
    <t>4601729072345</t>
  </si>
  <si>
    <t>Свекла Детройт 3г (А/б)</t>
  </si>
  <si>
    <t>Среднеспелый холодостойкий сорт. От всходов до технической спелости 100-110 дней. Корнеплод округлый, гладкий, красный, массой 100-200 г. Мякоть темно-красная, без кольцеватости. Вкусовые качества хорошие. Урожайность 4-7 кг/м2. Хорошая лежкость при зимнем хранении.</t>
  </si>
  <si>
    <t>4601729072642</t>
  </si>
  <si>
    <t>Свекла Египетская плоская 3г (А\б)</t>
  </si>
  <si>
    <t>Среднеспелый сорт (от полных всходов до начала плодоношения 94-120 дней), идеально подходящий  для длительного хранения и потребления в осенне-зимний период. Сорт устойчив к цветушности. Районирован повсеместно. Корнеплоды плоские, гладкие выровненные, массой до 520г, темно- и черно-красного цвета. Мякоть сочная, нежная, темно-красного цвета, с фиолетовым оттенком. Урожайность 6-8,3 кг/м².</t>
  </si>
  <si>
    <t>4601729161377</t>
  </si>
  <si>
    <t>Свекла кормовая Эккендорфская желтая 3 г (А/б)</t>
  </si>
  <si>
    <t>Среднеспелый кормовой сорт для домашних животных. Формирует урожай за  115-130 дней от всходов. Корнеплод массой 2-3 кг, мешковидный с перехватом посередине, светло-желтый с серо-зеленой головкой. Мякоть белая, сочная, высокой питательной ценности. Сорт холодостойкий, не требователен к плодородию почвы. Прекрасно хранится.</t>
  </si>
  <si>
    <t>4601729163654</t>
  </si>
  <si>
    <t>Свекла кормовая Эккендорфская красная 3 г (А/б)</t>
  </si>
  <si>
    <t>Среднепоздний кормовой сорт для домашних животных. Формирует урожай за 120-140 дней от всходов. Корнеплод длиной 25-30 см, мешковидный с перехватом посередине, массой 2-3 кг.  Окраска поверхности красная, мякоти – белая. Ценится за высокую питательную ценность и урожайность. Хорошо хранится.</t>
  </si>
  <si>
    <t>4601729072659</t>
  </si>
  <si>
    <t>Свекла Красный шар 3гр. (А/б)</t>
  </si>
  <si>
    <t xml:space="preserve"> Холодостойкий и засухоустойчивый, скороспелый сорт. Период от всходов до технической спелости 70-90 дней. Корнеплоды округлые, массой 250-350 г. Мякоть красная, кольцеватость отсутствует. Урожайность 4-5 кг/м2. Лежкость хорошая.</t>
  </si>
  <si>
    <t>4601729030666</t>
  </si>
  <si>
    <t>Свекла Мона 2г (А/б)</t>
  </si>
  <si>
    <t>Среднеранний (62-115 дней от всходов до технической спелости) сорт. Одноростковый. Корнеплод цилиндрический, красный, головка средняя, мякоть темно-красная, нежная, сочная, со слабо-выраженными кольцами. Масса корнеплода 200-330 г.</t>
  </si>
  <si>
    <t>7601597043062</t>
  </si>
  <si>
    <t>Свекла Мулатка 2г (А\б)</t>
  </si>
  <si>
    <t>Новый среднеспелый сорт (от всходов до уборки урожая 120-130 дней) рекомендованный для зимнего хранения и использования в кулинарии. Корнеплоды округлой формы, выравненные, гладкие, темно-бордового цвета, массой 160-360 г. Опробковение головки отсутствует или очень слабое. Мякоть красная, без колец, сочная, нежная. Вкусовые качества - отличные. При тепловой обработке сохраняет цвет. Идеальна для хранения.</t>
  </si>
  <si>
    <t>4601729125720</t>
  </si>
  <si>
    <t>Свекла Нежность (А\б)</t>
  </si>
  <si>
    <t>Среднеспелый сорт, период от полных всходов до начала технической  спелости 110-115 дней.  Урожайность  высокая, 5-6 кг/м2. Корнеплоды цилиндрические, выравненные, гладкие, массой 160-250 г. Мякоть фиолетовая, нежная, без колец и грубых волокон. Рекомендуется для различной кулинарной переработки. Корнеплоды прекрасно хранятся в течение зимнего периода без потери великолепных вкусовых и товарных качеств. Сорт устойчив к цветушности.</t>
  </si>
  <si>
    <t>4601729112652</t>
  </si>
  <si>
    <t>Свекла Несравненная 3 г (А\б)</t>
  </si>
  <si>
    <t>Раннеспелый (69-99 дней от всходов до технической спелости) сорт. Посев в грунт конец апреля - начало мая по схеме 6x30 см на глубину 2,0-2,5 см. Розетка листьев полустоячая, высокая. Корнеплод плоский и плоскоокруглый. Кожица темно-красная, у головки сероватая. Мякоть темно-красная, часто с черноватыми кольцами. Масса корнеплода 160-400 г. Вкусовые качества хорошие. Сорт относительно устойчив к церкоспорозу. Рекомендован для потребления в осенне-зимний период. Урожайность 2,9-7,0 кг/м2.</t>
  </si>
  <si>
    <t>4601729159695</t>
  </si>
  <si>
    <t>Свекла Одноростковая 2 гр (А\б)</t>
  </si>
  <si>
    <t>Среднепоздний сорт, от всходов до уборки 120-130 дней. Корнеплоды массой 300-600 г, с интенсивно-красной мякотью. Вкусовые качества хорошие. Урожайность товарной продукции 8-9 кг/м2. Лежкость при зимнем хранении – 95-99%.</t>
  </si>
  <si>
    <t>4603418021771</t>
  </si>
  <si>
    <t>Свекла Смуглянка 2 гр. (А\б)</t>
  </si>
  <si>
    <t>Cреднеспелый сорт (период от полных всходов до начала технической спелости 110-115 дней) со стабильной урожайностью 5-6 кг/м2 и высокой товарностью продукции – 86-93%. Корнеплоды выравненные, плоскоокруглые, гладкие, массой 240-380г. Мякоть нежная, сочная, темно-бордового цвета.</t>
  </si>
  <si>
    <t>4601729052569</t>
  </si>
  <si>
    <t>Сельдерей Егор Корневой (А\б)</t>
  </si>
  <si>
    <t>Сельдерей</t>
  </si>
  <si>
    <t>Корнеплодный сорт отечественной селекции. Среднеспелый, период от всходов до начала технической спелости корнеплода 170-180 дней. Лист темно-зеленый.  Корнеплод крупный, расположение боковых корней низкое. Мякоть белая, ароматная; содержание сахаров повышенное. Урожайность 2,5-3 кг/м2.</t>
  </si>
  <si>
    <t>4601729005831</t>
  </si>
  <si>
    <t>Сельдерей Листовой 0,5 гр (А\б)</t>
  </si>
  <si>
    <t>Ароматное зеленное растение. Период от всходов до массовой срезки листьев 75-90 дней. Высота розетки 40-60 см. Лист темно-зеленый, глянцевый. Вкус и ароматичность хорошие. Урожайность зелени 2,5-2,6 кг/м2. Используется в кулинарии в свежем и сушеном виде.</t>
  </si>
  <si>
    <t>4601729162800</t>
  </si>
  <si>
    <t>Томат Агата 20 шт. (А\б)</t>
  </si>
  <si>
    <t>Ранний детерминантный сорт для открытого грунта. Вступает в плодоношение на 98-113 день от всходов. Растения высотой до 45 см. Пасынкования не требуется. Плоды массой 100 г, в кистях по 3-4 штуки. Вкусные – дегустационная оценка 4,5-5 баллов по 5-балльной шкале. Для свежего потребления. Урожайность 6-8 кг/м2.</t>
  </si>
  <si>
    <t>4601729162817</t>
  </si>
  <si>
    <t>Томат Алпатьева 905 А 20 шт. (А/б)</t>
  </si>
  <si>
    <t>Ранний сорт для о/г. От всходов до первого сбора 100-115 дней. Растение штамбовое, детерминантное, высотой 35-45 см. Плод округлый, красный, массой 55-75 г. Урожайность 2-4,5 кг/м2. За 15 дней плодоношения созревает 30% общего урожая. Для свежего потребления и засолки.</t>
  </si>
  <si>
    <t>4601729162992</t>
  </si>
  <si>
    <t>Томат Юбилейный Тарасенко 20 шт. (А\б)</t>
  </si>
  <si>
    <t>Сорт среднеспелый (115-130 дней от появления всходов до начала созревания), индетерминантный, салатного назначения, для защищенного грунта и пленочных теплиц. 
Плоды крупные, массой до 200 г, плоскоокруглой формы с "носиком", красного цвета.</t>
  </si>
  <si>
    <t>4601729163005</t>
  </si>
  <si>
    <t>Тыква Крошка, крупноплодная (А\б)</t>
  </si>
  <si>
    <t>Среднепоздняя, вызревает примерно через 120 дней от всходов. Растения длинноплетистые, с хорошей устойчивостью к антракнозу. Плоды плоскоокруглые, гладкие, некрупные – массой 2,5-3 кг. Мякоть ярко-оранжевая, плотная, сладкая.</t>
  </si>
  <si>
    <t>4601729161247</t>
  </si>
  <si>
    <t>Укроп Карлик 2 гр (А/б)</t>
  </si>
  <si>
    <t>Раннеспелый  сорт,  предназначен  для  выращивания на зелень и на специи. От всходов до сбора зелени 25-35 дней. Куст компактный, высотой до 45 см, может  выращиваться в горшечной культуре.  Листья красивой  изумрудной  окраски,  сочные,  очень  ароматные. Прекрасно подходят для заморозки и сушки.</t>
  </si>
  <si>
    <t>4601729159725</t>
  </si>
  <si>
    <t>Укроп Нежность 2 гр (А/б)</t>
  </si>
  <si>
    <t>Среднепоздний сорт. Предназначен для выращивания на зелень и на специи. Растение компактное, с высокой продуктивностью зеленой массы. Листья крупные, зеленые, сочные, нежные, ароматные, высоких товарных качеств. Масса одного растения при уборке на зелень 35-40 г. Благодаря медленному стеблеванию, сорт продолжительное время сохраняет фазу хозяйственной годности. Используется в свежем виде и для консервирования.</t>
  </si>
  <si>
    <t>4601729157691</t>
  </si>
  <si>
    <t>Укроп Обильнолистный 2 гр. (А\б)</t>
  </si>
  <si>
    <t>Сорт среднеспелый (30-40 дней от появления всходов до хозяйственной годности). 
Куст ветвистый, хорошо облиственный. Листья зеленые, сочные, нежные, ароматные, высоких товарных качеств. Урожайность зеленой массы 2,5-3,5 кг/м². 
Используют в свежем виде и для консервирования. Все надземные части растения содержат эфирное масло и обладают очень приятным вкусом.</t>
  </si>
  <si>
    <t>4601729163562</t>
  </si>
  <si>
    <t>Фасоль Журавушка 15 шт. (А/б)</t>
  </si>
  <si>
    <t>Раннеспелый высокобелковый сорт с высокими питательными и целебными свойствами. Созревание наступает на 40-45 день после появления всходов. Растения кустовые, компактные, высотой 40-50 см. Бобы гладкие, длиной 12-13 см, шириной 0,9-1,1. Створки бобов без пергаментного слоя, на вкус очень нежные и сочные. Недозрелые бобы используют в домашней кулинарии, для консервирования и замораживания. Сорт устойчив к аскохитозу и антракнозу. Отличается стабильно высокой урожайностью – до 1,5 кг/м2.</t>
  </si>
  <si>
    <t>4601729163579</t>
  </si>
  <si>
    <t>Фасоль Московская белая 15 шт. (А/б)</t>
  </si>
  <si>
    <t>Сорт среднеспелый (от появления всходов до начала созревания 55-65 дней). Растение средневетвистое, кустовое, раскидистое, высотой 30-35 см. Боб крупный, плоско-цилиндрический, изогнутый, со слабо выраженным пергаментным слоем, длиной 9-11 см. Зерна белые, количество в бобе 9-10 шт. Товарная урожайность бобов  9-15 т/га. Используется для домашней кулинарии и консервной промышленности.</t>
  </si>
  <si>
    <t>5605719041525</t>
  </si>
  <si>
    <t>Фасоль Сакса без волокна 615 (А\б)</t>
  </si>
  <si>
    <t>Скороспелый сорт (50 - 60 дней от появления всходов до начала созревания). Сахарный. Растение кустовое, высотой 35 - 40 см. Бобы слега изогнутые, сочные, длиной 9 - 12 см, светло - зеленые, без пергаментного слоя и волокна в швах бобов. Урожайность - 1,5-2,0 кг/м2.</t>
  </si>
  <si>
    <t>4601927007521</t>
  </si>
  <si>
    <t>Шпинат Исполинский (А\б)</t>
  </si>
  <si>
    <t>Шпинат</t>
  </si>
  <si>
    <t>Холодостойкий, скороспелый. Первый сбор зелени проводят через 15-20 дней от всходов. Розетка компактная. Листья толстые, с богатым витаминно-минеральным комплексом, с высоким содержанием белка. Масса одного растения 25-30 г, урожайность 2,5-2,8 кг/м2.</t>
  </si>
  <si>
    <t>4601729157745</t>
  </si>
  <si>
    <t>Щавель Бельвильский 0.3гр. (А/б)</t>
  </si>
  <si>
    <t>Щавель</t>
  </si>
  <si>
    <t>Раннеспелый холодостойкий сорт (от всходов до сбора урожая 45-50 дней). Листья светло-зеленые, с ровным краем. Длина листовой пластины 13-15 см, ширина - 5-10 см. Устойчив к стеблеванию. За период вегетации проводят 4-5 сборов. Молодые листья содержат большое количество витамина С, каротин, витамины группы В, ценные органические кислоты. Можно использовать в свежем виде, варить, солить. Урожайность до 7,3 кг/м2</t>
  </si>
  <si>
    <t>4601729157752</t>
  </si>
  <si>
    <t>Щавель Изумрудный король 0,3 г (А\б)</t>
  </si>
  <si>
    <t>Зимостойкий многолетник. Раннеспелый сорт, от весеннего отрастания до первой массовой срезки листьев 30-40 дней. Лист гладкий, нежный, слабокислого вкуса. Урожайность зелени за 2 срезки составляет 4-5 кг/м2. Для получения сверхранней продукции на 2-ой год грядку укрывают пленкой с ранней весны.</t>
  </si>
  <si>
    <t>4601729157769</t>
  </si>
  <si>
    <t>Щавель Крупнолистный 0,3 г (А\б)</t>
  </si>
  <si>
    <t>Раннеспелый высокопродуктивный сорт. Зимостойкий, устойчивый к стеблеванию. На одном месте выращивается 3-5 лет. Розетка высокая, стоячая, лист крупный, овально-удлиненный, длиной 10-14 и шириной 5-10 см. Средняя урожайность 5,2 кг/м2, за первый сбор 1,5-2,5 кг/м2. Для свежего потребления и консервирования.</t>
  </si>
  <si>
    <t>серия "Лидер"</t>
  </si>
  <si>
    <t>4601729182488</t>
  </si>
  <si>
    <t>Базилик Арарат серия "Лидер" (А\л)</t>
  </si>
  <si>
    <t>Популярный сорт с анисовым ароматом. Среднеспелый, от всходов до начала цветения 70 дней. Растения густооблиственные, высотой до 60 см. Листья и молодые побеги в свежем и сушеном виде используют в качестве приправы в домашней кулинарии и при консервировании. Урожайность 2-2,5 кг/м2.</t>
  </si>
  <si>
    <t>4601729181900</t>
  </si>
  <si>
    <t>Базилик Робин Гуд серия "Лидер" (А/Л)</t>
  </si>
  <si>
    <t>Среднеспелый сорт, период от всходов до начала хозяйственной годности 48-50 дней, до начала цветения 65-70 дней. Растения массой 200-30 г, высотой  45-50 см, 0 30-35 см, с пряным гвоздичным ароматом. Листья крупные. Используются как пряно-вкусовая приправа в свежем, сушеном, замороженном виде и для маринования.</t>
  </si>
  <si>
    <t>4601729181917</t>
  </si>
  <si>
    <t>Базилик Фейерверк вкуса серия "Лидер"  (А/л)</t>
  </si>
  <si>
    <t>Смесь популярных базиликов с разными оттенками вкуса и аромата. Включает сорта: Аромат корицы, Гурман гвоздичный, Карамельный, Лимончик. Растения высотой 30-50 см.</t>
  </si>
  <si>
    <t>4601729175589</t>
  </si>
  <si>
    <t>Баклажан Универсал 6 серия "Лидер" (А/л)</t>
  </si>
  <si>
    <t>Популярный среднеспелый сорт. От всходов до начала плодоношения 115-120 дней. Растения компактные, высотой – 60-70 см. Завязываемость плодов отличная. Плоды массой 150-200 г. Мякоть плотная, кремово-белая, без горечи. Вкусовые качества отличные. Урожайность 3,5-4 кг/м2.</t>
  </si>
  <si>
    <t>4601729112362</t>
  </si>
  <si>
    <t>Дайкон Миноваси серия "лидер" (А/ц)</t>
  </si>
  <si>
    <t>Среднеспелый сорт (период от полных всходов до начала технической спелости 65-70 дней). Корнеплоды длинные – 45-50 см, цилиндрические с белой кожурой и белой мякотью. Масса корнеплода 1,2-1,5 кг. Вкусовые качества отличные. Сорт устойчив к цветушности. Дайкон полезен людям, страдающим заболеваниями сердца, почек, печени, подавляет вредную микрофлору кишечника. Используется в свежем, вареном, тушеном, соленом виде и для непродолжительного хранения.</t>
  </si>
  <si>
    <t>4601729112416</t>
  </si>
  <si>
    <t>Земляника Ягодный коктейль, смесь серия "Лидер" (А/л)</t>
  </si>
  <si>
    <t>Включает раннеспелые безусые сорта Барон Солемахер и Вайс Солемахер. Плодоношение ремонтантного типа. Кусты компактные, высотой 20 см. Масса ягод 3-5 г. Вкус и аромат превосходные. Зимостойкость растений хорошая.</t>
  </si>
  <si>
    <t>4601729188428</t>
  </si>
  <si>
    <t>Кабачок Астроном серия "Лидер" 8 шт. (А/л)</t>
  </si>
  <si>
    <t>Неприхотливый раннеспелый белоплодный сорт. От всходов до первого сбора 40-45 дней. Растения кустовые. Плоды длиной 16-18 см, массой 0,9-1,2 кг. Мякоть белая, нежная. Вкусовые качества превосходные. Урожайность 8-12 кг/м2 .</t>
  </si>
  <si>
    <t>4601729162077</t>
  </si>
  <si>
    <t>Кабачок Деликатес цуккини серия "Лидер" 10 шт. (А/л)</t>
  </si>
  <si>
    <t>Высокоурожайный раннеспелый сорт. Растение имеет кустовую форму, образует цилиндрические плоды, массой до 2,0 кг, темно-зеленые с белой пятнистостью, глянцевые.</t>
  </si>
  <si>
    <t>4601729188435</t>
  </si>
  <si>
    <t>Кабачок Дядя Федор серия "Лидер" 8 шт. (А/л)</t>
  </si>
  <si>
    <t>Скороспелый белоплодный сорт. От всходов до первого сбора около 45 дней. Растения кустовые, компактные. Плоды массой 0,8-1,2 кг. Мякоть светлая, нежная, в меру плотная. Вкус превосходный. Урожайность 8-10 кг/м2.</t>
  </si>
  <si>
    <t>4601729162084</t>
  </si>
  <si>
    <t>Кабачок Зебра цуккини серия "Лидер" (А/л)</t>
  </si>
  <si>
    <t>Раннеспелый сорт. Вступает в плодоношение через 40-50 дней от всходов. Растение кустовое, со слабым ветвлением, преимущественно женского типа цветения. Средняя масса плода 0,9-1,1 кг.</t>
  </si>
  <si>
    <t>4601729188442</t>
  </si>
  <si>
    <t>Кабачок Корнишонный серия "Лидер"  (А/л)</t>
  </si>
  <si>
    <t>Ультраскороспелый, белоплодный сорт. От всходов до первого сбора 37-40 дней. Растения кустистые. Плоды длиной 17-20 см. Мякоть белая, нежная. Вкусовые качества отличные. Сорт неприхотливый, пригоден для длительного хранения. Урожайность 7-8 кг/м2.</t>
  </si>
  <si>
    <t>4601729188459</t>
  </si>
  <si>
    <t>Кабачок Малыш серия "Лидер" 8 шт. (А/л)</t>
  </si>
  <si>
    <t>Скороспелый, высокоурожайный белоплодный сорт. От всходов до начала плодоношения 38-47 дней. Растения кустовые. Плоды длиной до 20 см, гладкие, массой 0,6-1,0 кг. Мякоть светлая, плотная, с превосходным вкусом. Урожайность – 9-10 кг/ м2.</t>
  </si>
  <si>
    <t>4601729163135</t>
  </si>
  <si>
    <t>Кабачок Ролик серия "Лидер" 8 шт. (А/л)</t>
  </si>
  <si>
    <t>Ультраскороспелый холодостойкий отечественный сорт, в плодоношение вступает через 36-45 дней после полных всходов. Растение кустовое, компактное, не загущается.</t>
  </si>
  <si>
    <t>4601729162091</t>
  </si>
  <si>
    <t>Кабачок Цукеша * цуккини серия "Лидер" 10 шт. (А/л)</t>
  </si>
  <si>
    <t>Сорт скороспелый, вступает в плодоношение на 41-50 день. Растения кустовые, компактные. Плоды цилиндрические, массой 07-0,9 кг. Кора тонкая. Мякоть белая, хрустящая, отличных вкусовых качеств.</t>
  </si>
  <si>
    <t>4601729165047</t>
  </si>
  <si>
    <t>Кабачок Черный красавец цуккини серия "Лидер" 10 шт. (А/л)</t>
  </si>
  <si>
    <t>Раннеспелый сорт. Период от всходов до плодоношения 40-45 дней. Растения кустовой формы. Плоды цилиндрические, гладкие, глянцевые, массой 0,8-1,7 кг. Мякоть светло-кремовая, очень нежная, содержит много витаминов. Вкусовые качества – отличные.</t>
  </si>
  <si>
    <t>4601729063657</t>
  </si>
  <si>
    <t>Капуста б/к Амагер 611 * серия "Лидер" 0,5гр (А/л)</t>
  </si>
  <si>
    <t>Широко распространенный сорт, традиционный для длительного хранения (до апреля). Позднеспелый, от высадки рассады до созревания 117-148 дней. Кочаны округло-плоской формы, очень плотные, массой от 2,5 до 4 кг, устойчивы к растрескиванию. Урожайность более 6 кг/м2. Продукция используется в свежем виде в зимний период. Сорт отличается тем, что вкусовые качества продукции при длительном хранении только улучшаются. Ценный сорт для дальней транспортировки.</t>
  </si>
  <si>
    <t>4601729064685</t>
  </si>
  <si>
    <t>Капуста б/к Белорусская 455 * серия "Лидер" 0,5гр (А/л)</t>
  </si>
  <si>
    <t>Популярный среднеспелый сорт. Вегетационный период 105-130 дней. Кочаны массой 2-4 кг, с короткой внутренней кочерыгой. Сорт отличается высокой товарностью (98 %). Вкус продукции отличный. Назначение: краткосрочное хранение (2-3 месяца) и квашение.</t>
  </si>
  <si>
    <t>4601729064692</t>
  </si>
  <si>
    <t>Капуста б/к Зимовка серия "Лидер" 0,5гр (А/л)</t>
  </si>
  <si>
    <t>Позднеспелый сорт (от всходов до технической спелости 130-150 дней). Кочаны округло-плоские, очень плотные, массой 2,0-3,6 кг. Урожайность 5,0-6,0 кг/м². Отличается высокой лежкостью при зимнем хранении.</t>
  </si>
  <si>
    <t>4601729079153</t>
  </si>
  <si>
    <t>Капуста б/к Московская поздняя серия "Лидер" 0,5 гр (А/л)</t>
  </si>
  <si>
    <t>Позднеспелый сорт, от всходов до уборки 140 дней. Рекомендуется для потребления в свежем виде и квашения. Растения крупные, раскидистые, требуют более разреженной посадки, чем другие сорта.</t>
  </si>
  <si>
    <t>4601729064715</t>
  </si>
  <si>
    <t>Капуста б/к Надежда * серия "Лидер" 0,5гр  (А/л)</t>
  </si>
  <si>
    <t>Среднеспелый, холодостойкий сорт. Период от всходов до уборки урожая 130- 140 дней. Рекомендуется для потребления в свежем виде, квашения и хранения (до 3 месяцев).</t>
  </si>
  <si>
    <t>4601729062865</t>
  </si>
  <si>
    <t>Капуста б/к Подарок серия "Лидер" 0,5гр (А/л)</t>
  </si>
  <si>
    <t>Сорт среднепоздний (от всходов до технической спелости 114-134 дней).  Кочан округлый до округло-плоского, массой 2,6-4,4 кг. Лист серо-зеленый с восковым налетом, морщинистый. Для использования в свежем виде и для квашения.</t>
  </si>
  <si>
    <t>4601729062872</t>
  </si>
  <si>
    <t>Капуста б/к Слава 1305 * серия "Лидер" 0,5 гр(А/л)</t>
  </si>
  <si>
    <t>Сорт среднеспелый (период от всходов до начала технической спелости 100-130 дня). Кочан округлый до округло-плоского, плотный, массой 2,4-4,5 кг. Наружная кочерыга короткая, внутренняя - средней длины.  Товарная урожайность 57-93 т/га..Непревзойденный сорт для квашения</t>
  </si>
  <si>
    <t>4601729162107</t>
  </si>
  <si>
    <t>Капуста б/к Экспресс F1 серия "Лидер" 20шт. (А/л)</t>
  </si>
  <si>
    <t>Скороспелый гибрид (60-90 дней от всходов до технической спелости). Кочан округлый, светло-зеленый, на разрезе беловатый. Масса кочана - 1,2-1,5 кг, вкусовые качества отличные.</t>
  </si>
  <si>
    <t>4601729078996</t>
  </si>
  <si>
    <t>Капуста брокколи Цезар серия "Лидер" 0,3 гр (А/л)</t>
  </si>
  <si>
    <t>Среднеранний сорт, от массовых всходов до созревания центральной головки 100-110 дней. Головка массой до 600 г, эллиптическая, плотная, темно-зеленая, с нежной текстурой, хорошего вкуса.</t>
  </si>
  <si>
    <t>4601729063930</t>
  </si>
  <si>
    <t>Капуста кольраби Венская белая 1гр.  серия "Лидер" (А/л)</t>
  </si>
  <si>
    <t>Скороспелый сорт (65-80 дней от всходов до технической спелости). Плод плоскоокруглый, массой 80-100 г, диаметром 7-9 см.  Рекомендован для выращивания в открытом грунте. Кольраби употребляют в свежем, жареном, тушеном виде.</t>
  </si>
  <si>
    <t>4601729064555</t>
  </si>
  <si>
    <t>Капуста кольраби Венская голубая * серия "Лидер" 1гр  (А/л)</t>
  </si>
  <si>
    <t>Сорт раннеспелый. Период от всходов до сбора урожая 72-88 дней. Форма стеблеплода округло-плоская, со средней массой 160 г. Используется в свежем виде и в кулинарии.</t>
  </si>
  <si>
    <t>4601729063954</t>
  </si>
  <si>
    <t>Капуста цв. Гарантия серия "Лидер" 0,5гр (А/л)</t>
  </si>
  <si>
    <t>Скороспелый высокоурожайный сорт. Период от всходов до уборки урожая 85-115 дней. Розетка средних размеров, высотой 40-50 см. Головка округло-плоская, массой 0,8-1,2 кг, плотная. Окраска белая с кремовым оттенком.</t>
  </si>
  <si>
    <t>4601729063978</t>
  </si>
  <si>
    <t>Капуста цв. Сноуболл серия "Лидер" 0,3гр (А/л)</t>
  </si>
  <si>
    <t>Популярный среднеранний сорт. Формирует урожай за 85-110 дней от всходов. Головка среднего размера, массой 0,8-1,2 кг, плотная, со среднебугристой поверхностью. Вкусовые качества отличные. Использование универсальное.</t>
  </si>
  <si>
    <t>4601729112454</t>
  </si>
  <si>
    <t>Лаванда Синева серия "Лидер" (А/л)</t>
  </si>
  <si>
    <t>Декоративное и лекарственное, вечнозеленое растение с уникальным ароматом. Засухоустойчивое, не любит переувлажнения. Куст раскидистый, высотой 40-60 см. Семена стратифицируют в течение 1месяца. Посадки размещают на солнечных участках с дренированными, некислыми почвами легкого мехсостава. В условиях средней полосы рекомендуется укрытие на зиму.</t>
  </si>
  <si>
    <t>4601729178993</t>
  </si>
  <si>
    <t>Лук Батун Русский зимний серия "Лидер" (А/л)</t>
  </si>
  <si>
    <t>Многолетний, среднеспелый салатный сорт. От весеннего отрастания до первой массовой срезки зелени 27-30 дней. Высота растений 40 см. Лист долго не грубеет. Вкус слабоострый.</t>
  </si>
  <si>
    <t>4601729064586</t>
  </si>
  <si>
    <t>Лук Бессоновский местный серия "Лидер" 1гр (А/л)</t>
  </si>
  <si>
    <t>Раннеспелый сорт репчатого лука, который созревает за 80–90 дней. Образует плотную округло-плоский корнеплод массой 35–50 г. Отличается лёжкостью и острым вкусом. Сухие чешуи жёлтого цвета, а сочные — белого. Подходит для употребления сразу после сбора и для зимнего хранения. Высокое содержание сухих веществ позволяет использовать лук для консервирования и сушения.</t>
  </si>
  <si>
    <t>4601729062902</t>
  </si>
  <si>
    <t>Лук порей Карантанский серия "Лидер" 1гр (А/л)</t>
  </si>
  <si>
    <t>Сорт позднеспелый (период от всходов до сбора урожая 125-176 дней). Растение высотой 20-30 см. Листья темно-зеленые, широкие. Ложный стебель цилиндрический, невысокий – 10-25 см, но толстый – диаметром до 5-6 см. Масса одного растения – 200-325 г. В пищу употребляют ложный стебель и молодые, зеленые листья.</t>
  </si>
  <si>
    <t>4601729112744</t>
  </si>
  <si>
    <t>Мангольд Павлиний хвост, смесь * серия "Лидер" (А/л)</t>
  </si>
  <si>
    <t>Разноцветная смесь листовой свеклы. Рекомендуется для использования молодых листьев и черешков в домашней кулинарии. Черешок длиной 30-40 см. Масса зелени одного растения 800-900 г.</t>
  </si>
  <si>
    <t>4601729062940</t>
  </si>
  <si>
    <t>Морковь Витаминная серия "Лидер" 2гр (А/л)</t>
  </si>
  <si>
    <t>Сорт среднеспелый (период от всходов до технической спелости 90-110 дней), высокоурожайный. Корнеплоды длиной 15 см, цилиндрические, тупоконечные, массой 61-165 г. Окраска поверхности и мякоти корнеплода - оранжевая. Рекомендуется для потребления в свежем виде и зимнего хранения.</t>
  </si>
  <si>
    <t>4601729062964</t>
  </si>
  <si>
    <t>Морковь Император серия "Лидер" (А/л)</t>
  </si>
  <si>
    <t>Позднеспелый сорт. Корнеплоды цилиндрической формы, 23-25 см длиной, тупоконечные, с плотной, сладкой и сочной мякотью, повышенным содержанием каротина и маленькой сердцевиной.</t>
  </si>
  <si>
    <t>4601729162244</t>
  </si>
  <si>
    <t>Морковь Канада серия "Лидер" 150 шт. (А/л)</t>
  </si>
  <si>
    <t>Высокоурожайный среднепоздний гибрид. Формирует урожай за 120-130 дней от массовых всходов. Обеспечивает отличные результаты на тяжелых почвах. Корнеплоды сортотипа Флакке, длиной 18-20 см, массой 130-170 г, хранятся до нового урожая. Вкусовые качества превосходные. Урожайность 7-8 кг/м 2</t>
  </si>
  <si>
    <t>4601729062636</t>
  </si>
  <si>
    <t>Морковь Королева осени серия "Лидер" 2гр (А/л)</t>
  </si>
  <si>
    <t>Позднеспелый сорт (период от всходов до технической спелости 125-135 дней). Корнеплод длинный, конической формы, с заостренным кончиком. Сердцевина и кора красные. Мякоть сочная, нежная и очень сладкая. Масса до 230 г. Используют как для потребления в свежем виде, так и для длительного хранения.</t>
  </si>
  <si>
    <t>4601729078606</t>
  </si>
  <si>
    <t>Морковь Курода шантанэ серия "Лидер" (А/л)</t>
  </si>
  <si>
    <t>Раннеспелый урожайный сорт для зимнего хранения. Отличается уникальным сочетанием раннеспелости и лежкости. Корнеплод короткий, конический с тупым кончиком, массой 90-160 г.</t>
  </si>
  <si>
    <t>4601729064043</t>
  </si>
  <si>
    <t>Морковь Лосиноостровская * серия "Лидер" 2гр (А/л)</t>
  </si>
  <si>
    <t>Популярный среднеспелый сорт. Период от всходов до технической спелости 100-110 дней. Корнеплоды сортотипа Берликум-Нантская, длиной 16-18 см, массой 140-170 г.</t>
  </si>
  <si>
    <t>4601729162275</t>
  </si>
  <si>
    <t>Морковь Мармеладка серия "Лидер" 2гр (А/л)</t>
  </si>
  <si>
    <t>Высокоурожайный, среднеспелый сорт. От всходов до уборки 100-110 дней. Корнеплоды массой 100-160 г, гладкие, ровные, сортотипа Нантская. Мякоть ярко-оранжевая, сладкая, нежная и сочная. Сорт устойчив к растрескиванию корнеплодов. Урожайность – 5-7 кг/м 2 .</t>
  </si>
  <si>
    <t>4601729065934</t>
  </si>
  <si>
    <t>Морковь Мо серия "Лидер" 2 гр(А/л)</t>
  </si>
  <si>
    <t>Высокоурожайный среднеспелый сорт. Созревает за 100-120 дней от всходов. Пригоден для выращивания на тяжелых почвах. Корнеплоды сортотипа Шантенэ, крупные – длиной до 20 см, массой 150-170 г. Отличный вкус и высокое содержание сахаров.</t>
  </si>
  <si>
    <t>4601729062988</t>
  </si>
  <si>
    <t>Морковь Московская зимняя серия "Лидер" 2гр (А/л)</t>
  </si>
  <si>
    <t>Один из лучших сортов для зимнего хранения. Среднеспелый, от всходов до технической спелости 100-120 дней. Корнеплоды сортотипа Шантенэ, длиной 14-16 см, массой 100-170 г. Сорт пригоден для подзимнего посева.</t>
  </si>
  <si>
    <t>4601729062995</t>
  </si>
  <si>
    <t>Морковь НИИОХ 336 серия "Лидер" 2гр (А/л)</t>
  </si>
  <si>
    <t>Сорт среднеспелый (период от полных всходов до технической спелости 73-98 дней). Корнеплод красно-оранжевый, цилиндрический, со слабым сбегом внизу, длиной 18 см, массой 100-120 г. Выращивается повсеместно.</t>
  </si>
  <si>
    <t>4601729112775</t>
  </si>
  <si>
    <t>Морковь Осенний король серия "Лидер" 2гр (А/л)</t>
  </si>
  <si>
    <t>Популярный среднепоздний сорт. От всходов до уборки 110-115 дней. Корнеплоды нантского сортотипа, длиной 20-23 см, массой 100-250 г. Мякоть с высоким содержанием каротина – более 20 мг%.</t>
  </si>
  <si>
    <t>4601729162336</t>
  </si>
  <si>
    <t>Морковь Рафинад серия "Лидер" (А/л)</t>
  </si>
  <si>
    <t>Раннеспелый урожайный сорт (период от всходов до технической спелости 85-90 дней). Корнеплод крупный, оранжевого цвета, удлиненно-конической формы, длинной до 20 см. Мякоть сочная, нежная, сладкая.</t>
  </si>
  <si>
    <t>4601729063015</t>
  </si>
  <si>
    <t>Морковь Самсон серия "Лидер" 0.5г (А/л)</t>
  </si>
  <si>
    <t>Среднеспелый сорт голландской селекции, от всходов до уборки урожая 100-120 дней. Отличается превосходной лежкостью корнеплодов. Корнеплоды цилиндрические (нантского сортотипа), длиной 16-20 см, массой 130-150. Мякоть сочная, с отличными вкусовыми качествами, сердцевина маленькая. Урожайность высокая, 7-8 кг/м2. Рекомендуется для потребления в свежем виде, переработки и длительного зимнего хранения.</t>
  </si>
  <si>
    <t>4601729162343</t>
  </si>
  <si>
    <t>Морковь Сластена серия "Лидер" 2 г (А/л)</t>
  </si>
  <si>
    <t>Надежный среднеспелый сорт. Формирует урожай за 100-120 дней от всходов. Корнеплоды великолепного вкуса, сортотипа Берликум/Нантская, длиной 18-20 см, массой 90-150 г, устойчивы к растрескиванию, отлично хранятся. Урожайность – 5-7 кг/м 2 .</t>
  </si>
  <si>
    <t>4601729063022</t>
  </si>
  <si>
    <t>Морковь Форто серия "Лидер" 2гр(А/л)</t>
  </si>
  <si>
    <t>Высокопродуктивный среднеспелый сорт. Период от всходов до технической спелости корнеплодов 110 дней. Корнеплоды нантского сортотипа, длиной 18-20 см, массой 90-110 г, с отличными вкусовыми качествами. Лежкость высокая – корнеплоды хранятся до нового урожая.</t>
  </si>
  <si>
    <t>4601729063039</t>
  </si>
  <si>
    <t>Морковь Шантанэ 2461 серия "Лидер" 2гр  (А/л)</t>
  </si>
  <si>
    <t>Самый популярный среднеспелый сорт (период от полных всходов до технической спелости 90-110 дней) с повышенным содержанием каротина и отличными вкусовыми качествами. Дает высокий урожай во всех регионах, даже на тяжелых почвах.</t>
  </si>
  <si>
    <t>4601729142192</t>
  </si>
  <si>
    <t>Огурец Бидретта серия "Лидер" 0,3гр (А/л)</t>
  </si>
  <si>
    <t>Среднеранний, пчелоопыляемый гибрид (45-47 дней от полных всходов до начала плодоношения). Для выращивания в открытом грунте и под пленочными укрытиями. Плод цилиндрический, темно-зеленый, мелкобугорчатый, без горечи и пустот.</t>
  </si>
  <si>
    <t>4601729142215</t>
  </si>
  <si>
    <t>Огурец Дальневосточный серия "Лидер" (А/л)</t>
  </si>
  <si>
    <t>Раннеспелый, пчелоопыляемый, высокоурожайный сорт для открытого грунта и пленочных укрытий. Срок созревания - 40-45 дней от полных всходов до плодоношения. Зеленец зеленый, крупнобугорчатый, длиной 10-12 см, отличных вкусовых качеств.</t>
  </si>
  <si>
    <t>4601729142222</t>
  </si>
  <si>
    <t>Огурец Друзья-товарищи F1, смесь * серия "Лидер" (А/л)</t>
  </si>
  <si>
    <t>Смесь ранних пчелоопыляемых гибридов для открытого грунта и пленочных укрытий. Включает универсальные огурцы Родничок F1 и Тополек F1. Растения среднего ветвления, устойчивые к мучнистой росе. Плоды массой 80-90 г, крупнобугорчатые, черношипые, с отличными засолочными качествами. Урожайность в о/г 5-6  кг/м2, под пленкой – 9-10  кг/м2.</t>
  </si>
  <si>
    <t>4601729140778</t>
  </si>
  <si>
    <t>Огурец Засолочный серия "Лидер" 0,3г  (А/л)</t>
  </si>
  <si>
    <t>Раннеспелый, пчелоопыляемый сорт. Растение длинноплетистое, индетерминантное. Зеленец удлиненно-цилиндрический, крупнобугорчатый, опушение черное. Длина зеленца 10-11 см. Масса зеленца 100-125 г.</t>
  </si>
  <si>
    <t>4601729142246</t>
  </si>
  <si>
    <t>Огурец Изящный серия "Лидер" 0,5г  (А/л)</t>
  </si>
  <si>
    <t>Популярный пчелоопыляемый сорт для открытого грунта. Холодостойкий. Один из самых скороспелых, от всходов до плодоношения 40-45 дней. Зеленцы длиной 9-12 см, массой 90-110 г, отличного вкуса. Долго не желтеют.</t>
  </si>
  <si>
    <t>4601729142253</t>
  </si>
  <si>
    <t>Огурец Конкурент серия "Лидер" (А/л)</t>
  </si>
  <si>
    <t>Раннеспелый пчелоопыляемый сорт для откры того грунта. От всходов до первого сбора плодов 45-50 дней. Растения длинноплетистые, устойчивые к ЛМР. Зеленцы черношипые, массой 70-100 г.</t>
  </si>
  <si>
    <t>4601729140785</t>
  </si>
  <si>
    <t>Огурец Кустовой * серия "Лидер", 0.5г  (А/л)</t>
  </si>
  <si>
    <t>Раннеспелый пчелоопыляемый сорт для открытого грунта. Отличается дружным плодоношением, растение кустовое. Зеленец редкобугорчатый, с черным опушением, 9-12 см, отличного вкуса, долго не желтеет.</t>
  </si>
  <si>
    <t>4601729142260</t>
  </si>
  <si>
    <t>Огурец Либелле F1 * серия "Лидер" (А/л)</t>
  </si>
  <si>
    <t>Стабильный в плодоношении среднеранний пчелоопыляемый гибрид (преимущественно женского типа цветения) для открытого грунта, пленочных укрытий и теплиц. Плод веретеновидный, темно-зеленый, мелкобугорчатый, белошипый, длиной 10-12 см, пригоден для засола и консервирования.</t>
  </si>
  <si>
    <t>4601729140808</t>
  </si>
  <si>
    <t>Огурец Нежинский серия "Лидер" 0,5 гр (А/л)</t>
  </si>
  <si>
    <t>Один из лучших засолочных сортов. Пчелоопыляемый. Для открытого грунта и пленочных укрытий. Среднеспелый, вступает в плодоношение на 50-55 день от всходов. Растения длинноплетистые, со смешанным типом цветения, выносливые к засухе.</t>
  </si>
  <si>
    <t>4601729143731</t>
  </si>
  <si>
    <t>Огурец Отело * серия "Лидер" (А/л)</t>
  </si>
  <si>
    <t>Раннеспелый, пчелоопыляемый, засолочный гибрид, для открытого грунта. Продолжительность периода от всходов до сбора урожая 40-45 дней. Плоды веретеновидные, мелкобугорчатые, длиной 9-10 см и массой 60-80 г.</t>
  </si>
  <si>
    <t>4601729141010</t>
  </si>
  <si>
    <t>Огурец Пальчик серия "Лидер" 0.5г  (А/л)</t>
  </si>
  <si>
    <t>Раннеспелый пчелоопыляемый сорт для о/г с длительным плодоношением. От всходов до первого сбора 40-45 дней. Зеленцы массой 90-100 г, крупнобугорчатые, белошипые.</t>
  </si>
  <si>
    <t>4601729142277</t>
  </si>
  <si>
    <t>Огурец Парижский корнишон серия "Лидер" 0.5г  (А/л)</t>
  </si>
  <si>
    <t>Раннеспелый пчелоопыляемый сорт для о/г. От всходов до начала плодоношения 38-45 дней. Растения преимущественно женского типа цветения. Зеленцы крупнобугорчатые, черношипые, массой 60-80 г.</t>
  </si>
  <si>
    <t>4601729142284</t>
  </si>
  <si>
    <t>Огурец Перента серия "Лидер" 0,3гр  (А/л)</t>
  </si>
  <si>
    <t>Среднеранний пчелоопыляемый гибрид для о/г. Вступает в плодоношение на 42-50 день от всходов. Растения преимущественно женского типа цветения. Устойчивы к ВОМ, настоящей и ложной мучнистой росе.</t>
  </si>
  <si>
    <t>4601729141003</t>
  </si>
  <si>
    <t>Огурец Похрустим серия "Лидер" 0,3 гр (А/л)</t>
  </si>
  <si>
    <t>Раннеспелый партенокарпический гибрид для о/г и пленочных укрытий. От всходов до начала плодоношения 40-45 дней. Растения сильнорослые, со склонностью к пучковому заложению завязей. Зеленцы мелкобугорчатые, массой 60-80 г.</t>
  </si>
  <si>
    <t>4601729141546</t>
  </si>
  <si>
    <t>Огурец Серпантин серия "Лидер" 0,5гр (А/л)</t>
  </si>
  <si>
    <t>Раннеспелый сорт сибирской селекции для открытого грунта. Пчелоопыляемый. От всходов до первого сбора 36-40 дней. Зеленцы черношипые, массой 80-115 г. Вкусовые качества плодов высокие.</t>
  </si>
  <si>
    <t>4601729139635</t>
  </si>
  <si>
    <t>Огурец Тополек F1 серия "Лидер" 0.3г (А/л)</t>
  </si>
  <si>
    <t>Среднеранний высокоурожайный пчелоопыляемый гибрид (от всходов до первого сбора 45-55 дней) для открытого и защищенного грунта с длительным периодом плодоношения.</t>
  </si>
  <si>
    <t>4601729173745</t>
  </si>
  <si>
    <t>Перец Винни-Пух * серия "Лидер" (А/л)</t>
  </si>
  <si>
    <t>Скороспелый сорт с букетным расположением плодов. От всходов до технической спелости 107-111 дней. Растения компактные, штамбовые, высотой около 30 см. Подвязки и формирования не требуется. Плоды массой 50-70 г. Вкусные и ароматные. Толщина стенки 5-6 мм. Урожайность – до 5 кг/м2.</t>
  </si>
  <si>
    <t>4601729161650</t>
  </si>
  <si>
    <t>Перец Кубышка * серия "Лидер" (А/л)</t>
  </si>
  <si>
    <t>Крупноплодный раннеспелый сорт для пленочных укрытий. От всходов до начала созревания 100-110 дней. Растения высотой 60-70 см, одновременно завязывают 6-10 плодов. Перцы массой 240-250 г, толстостенные, вкусные, ароматные. Урожайность высокая - 6-7 кг/м2. Сорт ценится за повышенное содержание витаминов и аскорбиновой кислоты. Используется в свежем виде, домашней кулинарии и для консервирования.</t>
  </si>
  <si>
    <t>4601729174094</t>
  </si>
  <si>
    <t>Перец Янтарь * серия "Лидер" 0.3г (А/л)</t>
  </si>
  <si>
    <t>Раннеспелый, от полных всходов до технической спелости 112 дней, для выращивания в теплице. Растение высотой 75-95 см. Плод крупный, конусовидный, гладкий, в технической спелости зеленый, в биологической - оранжевый.</t>
  </si>
  <si>
    <t>4601729078750</t>
  </si>
  <si>
    <t>Петрушка Ароматная аллея * кудрявая  серия "Лидер" (А/л)</t>
  </si>
  <si>
    <t>Высокоурожайный, раннеспелый сорт. Формирует хорошо облиственные кусты высотой 30 см. Листья ароматные, прекрасного вкуса, с высоким содержанием витамина С и других биологически ценных веществ.</t>
  </si>
  <si>
    <t>4601729064173</t>
  </si>
  <si>
    <t>Петрушка Бабушкина грядка кудрявая серия "Лидер" (А/л)</t>
  </si>
  <si>
    <t>Раннеспелый сорт с компактной, хорошо облиственной розеткой высотой 25 см. Листья ароматные, крупные, на толстых черешках. Зелень хорошо отрастает после срезки и долго сохраняет товарный вид</t>
  </si>
  <si>
    <t>4601729112881</t>
  </si>
  <si>
    <t>Петрушка Богатырь листовая серия "Лидер" (А/л)</t>
  </si>
  <si>
    <t>Продуктивный позднеспелый сорт. От всходов до первой массовой срезки 60-80 дней. Розетка высотой до 40 см. Лист ароматный, с крупными долями. Темпы нарастания зелени после срезки высокие.</t>
  </si>
  <si>
    <t>4601729112898</t>
  </si>
  <si>
    <t>Петрушка Бутербродная * листовая серия "Лидер" (А/л)</t>
  </si>
  <si>
    <t>Популярный среднеспелый сорт. От всходов до первой массовой срезки 60-70 дней. Высота розетки 30-40 см. Масса зелени одного растения 60-100 г. Лист среднего размера, нежный.</t>
  </si>
  <si>
    <t>4601729112874</t>
  </si>
  <si>
    <t>Петрушка Итальянский богатырь листовая серия "Лидер" (А/л)</t>
  </si>
  <si>
    <t>Крупнолистовой сорт. Среднеспелый, от всходов до первой массовой срезки 60-70 дней. Розетка высотой 30-35 см. Масса зелени одного растения 70 г. Лист длинный, нежный. Ароматичность сильная. Зелень интенсивно нарастает после срезки.</t>
  </si>
  <si>
    <t>4601729084324</t>
  </si>
  <si>
    <t>Петрушка Катюша листовая серия "Лидер" 2гр (А/л)</t>
  </si>
  <si>
    <t>Высокопродуктивный среднеспелый сорт. От всходов до первой массовой срезки зелени 60-70 дней. Высота растений 50 см, число листьев в розетке – от 40 до 100, масса зелени одного растения 48-50 г.</t>
  </si>
  <si>
    <t>4601729079610</t>
  </si>
  <si>
    <t>Петрушка корневая Сахарная серия "Лидер" (А/л)</t>
  </si>
  <si>
    <t>Скороспелый универсальный сорт. Формирует урожай за 97-103 дня от всходов. Используют листья и корнеплоды. Розетка листьев высотой 25-30 см. Корнеплод длиной 20-30 см, массой 25-60 г</t>
  </si>
  <si>
    <t>4601729160943</t>
  </si>
  <si>
    <t>Редис 18 дней * серия "Лидер" 2 гр. (А/л)</t>
  </si>
  <si>
    <t>Скороспелый сорт. Ценится за дружное формирование урожая, высокий выход товарной продукции и отличные вкусовые качества. Корнеплоды массой 18-25 г созревают за 18-20 дней от всходов.</t>
  </si>
  <si>
    <t>4601729160950</t>
  </si>
  <si>
    <t>Редис Дуро Краснодарское серия "Лидер" (А/л)</t>
  </si>
  <si>
    <t>Высокоурожайный среднеспелый сорт. Период от всходов до технической спелости 21-25 дней. Корнеплод крупный, массой 25-40 г. Мякоть плотная, долго не дряблеет. Вкус отличный.</t>
  </si>
  <si>
    <t>4601729163883</t>
  </si>
  <si>
    <t>Редис Жара * серия "Лидер" 2 гр (А/л)</t>
  </si>
  <si>
    <t>Популярный скороспелый сорт, формирует урожай за 3-3,5 недели от полных всходов. Корнеплоды массой 18-27 г. Мякоть белая и бело-розовая, плотная, сочная, слабоострого вкуса.</t>
  </si>
  <si>
    <t>4601729163166</t>
  </si>
  <si>
    <t>Редис Заря * серия "Лидер" 2 гр (А/л)</t>
  </si>
  <si>
    <t>Раннеспелый сорт (период от всходов до сбора корнеплодов 18-24 дня). Корнеплод круглый или эллиптический, красный, массой 15-20 г.</t>
  </si>
  <si>
    <t>4601729160967</t>
  </si>
  <si>
    <t>Редис Красный великан * серия "Лидер" (А/л)</t>
  </si>
  <si>
    <t>Высокопродуктивный сорт для летнего посева. Формирует урожай за 40 дней от всходов. Корнеплоды длиной 11-13 см, массой 50-100 г. Мякоть белая, сочная, сладко-острого вкуса.</t>
  </si>
  <si>
    <t>4601729160974</t>
  </si>
  <si>
    <t>Редис Красный гигант * серия "Лидер" 2 гр (А/л)</t>
  </si>
  <si>
    <t>Крупноплодный сорт для открытого и защищенного грунта. Формирует урожай за 25-30 дней. Корнеплоды Ø 5-6 см, массой 30-40 г. Мякоть белая, превосходного освежающего вкуса.</t>
  </si>
  <si>
    <t>4601729161711</t>
  </si>
  <si>
    <t>Редис Ледяная сосулька * серия "Лидер" (А/л)</t>
  </si>
  <si>
    <t>Cорт среднеспелый (вегетационный период 25-30 дней). Предназначен для выращивания в открытом грунте. Корнеплод длинный, веретено-видный, кожура и мякоть белые, на вкус среднеострый. Масса корнеплода 45-80 г. Вкусовые качества отличные. Сорт холодостойкий, устойчив к цветушности.</t>
  </si>
  <si>
    <t>4601729160981</t>
  </si>
  <si>
    <t>Редис Ранний красный серия "Лидер" 2 гр (А/л)</t>
  </si>
  <si>
    <t>Скороспелый, крупноплодный сорт. Формирует урожай за 3 недели от всходов. Розетка листьев компактная, слабо облиственная. Корнеплоды массой 25-30 г. Мякоть белая, вкус слабоострый, освежающий.</t>
  </si>
  <si>
    <t>4601729165054</t>
  </si>
  <si>
    <t>Редис Розово-красный с б/к * серия "Лидер" 2 гр (А/л)</t>
  </si>
  <si>
    <t>Крупноплодный сорт для открытого и защищенного грунта. Среднеранний, формирует урожай за 25 дней от всходов. Корнеплод массой 30-45 г. Мякоть белая и бело- розовая, плотная, сочная, остро-сладкого вкуса.</t>
  </si>
  <si>
    <t>4601729167300</t>
  </si>
  <si>
    <t>Редис Рубин * серия "Лидер" 2 гр (А/л)</t>
  </si>
  <si>
    <t>Скороспелый, высокоурожайный сорт. Образует стандартный корнеплод через 24-31 день после появления всходов. Мякоть белая, сочная, слабоострого вкуса.</t>
  </si>
  <si>
    <t>4601729160998</t>
  </si>
  <si>
    <t>Редис Сакса * серия "Лидер" (А/л)</t>
  </si>
  <si>
    <t>Сорт среднеспелый (23-25 дней от появления всходов до технической спелости). Корнеплод округлый, красный. Урожайность 2,5-3,8 м².</t>
  </si>
  <si>
    <t>4601729161001</t>
  </si>
  <si>
    <t>Редис Французский завтрак * серия "Лидер"  (А/л)</t>
  </si>
  <si>
    <t>Скороспелый сорт, срок созревания 20-25 дней от появления всходов. Ценится за дружное формирование и отличный товарный вид урожая. Корнеплоды цилиндрические, массой 15-20 г.</t>
  </si>
  <si>
    <t>4601729063251</t>
  </si>
  <si>
    <t>Редька Маргеланская серия "Лидер" 1 гр (А/л)</t>
  </si>
  <si>
    <t>Среднеспелый (60-80 дней от посева до уборки) сорт. Корнеплод зеленый, округлый или удлиненно-округлый, диаметром до 10 см, поверхность гладкая или слегка бороздчатая. Мякоть нежно-зеленого цвета, сочная, хрустящая. Вкус неострый. Лежкость высокая. Масса 200-400 г</t>
  </si>
  <si>
    <t>4601729063268</t>
  </si>
  <si>
    <t>Редька Черная зимняя серия "Лидер" (А/л)</t>
  </si>
  <si>
    <t>Популярный среднеспелый сорт. От всходов до технической спелости 70-110 дней. Масса корнеплода 250-550 г. Мякоть белая, плотная, сочная, остро-сладкого вкуса. Обладает лечебными свойствами.</t>
  </si>
  <si>
    <t>4601729063275</t>
  </si>
  <si>
    <t>Репа Петровская * серия "Лидер" (А/л)</t>
  </si>
  <si>
    <t>Раннеспелый сорт, формирует урожай за 65-75 дней от всходов. Корнеплоды массой 60-150 г. Мякоть золотисто-желтая, твердая, сочная, сладкая. Растения устойчивы к киле крестоцветных.</t>
  </si>
  <si>
    <t>4601729162114</t>
  </si>
  <si>
    <t>Розмарин Нежность  серия "Лидер"  (А\л)</t>
  </si>
  <si>
    <t>Традиционно используется в средиземноморской кухне. Веточки розмарина используются целиком для придания красоты и тонкого вкуса супам, блюдам из рыбы и мяса. Также может использоваться в растертом или сушеном виде.</t>
  </si>
  <si>
    <t>4601729097607</t>
  </si>
  <si>
    <t>Руккола (Индау) Сицилия серия "Лидер" 0,3гр (А/л)</t>
  </si>
  <si>
    <t>Холодостойкая салатная культура, неприхотливая в выращивании. Листья лировидные, со специфическим пряным вкусом. Обладают богатым комплексом витаминов и других полезных биологически-активных веществ.</t>
  </si>
  <si>
    <t>4601729064289</t>
  </si>
  <si>
    <t>Салат 4 сезона * серия "Лидер" 0,5 гр (А/л)</t>
  </si>
  <si>
    <t>Среднеспелый кочанный сорт. От всходов до хозяйственной годности 70 дней. Наружные листья бронзово-красные, внутренние - желто-зеленые. Консистенция листьев очень нежная, маслянистая. Листья можно употреблять в пищу через месяц после всходов.</t>
  </si>
  <si>
    <t>4601729064654</t>
  </si>
  <si>
    <t>Салат Букет серия "Лидер" 0,5 гр (А/л)</t>
  </si>
  <si>
    <t>Популярный сорт с листьями маслянистого типа. Среднеспелый, от посева до хозяйственной годности 45-50 дней. Розетка декоративная, плотная, высотой 30 см, Ø 35 см, массой до 350 г.</t>
  </si>
  <si>
    <t>4601729112706</t>
  </si>
  <si>
    <t>Салат Бэби Итальянская сиеста , смесь, серия "лидер"  (А\л)</t>
  </si>
  <si>
    <t>Разноцветная смесь для получения продукции бэби-лиф. Листочки молодых растений отличаются высоким содержанием селена и йода, что стимулирует иммунную систему и оказывает тонизирующее действие.</t>
  </si>
  <si>
    <t>4601729112690</t>
  </si>
  <si>
    <t>Салат Бэби Прованский шарм, смесь, серия "Лидер"  (А\л)</t>
  </si>
  <si>
    <t>Специальная смесь скороспелых листовых овощей для выращивания продукции бэби-лиф. В пищу используют молодые растения в фазе 3-5 настоящих листьев.</t>
  </si>
  <si>
    <t>4601729064265</t>
  </si>
  <si>
    <t>Салат Изумрудная зелень * серия "Лидер" 0,5 гр (А/л)</t>
  </si>
  <si>
    <t>Среднеспелый сорт для открытого грунта. Розетка листьев крупная, светло-зеленая, рыхлая, массой 200-300 г. Листья крупные, сочные, маслянистые, очень хороши в салатах.</t>
  </si>
  <si>
    <t>4601729112935</t>
  </si>
  <si>
    <t>Салат Лолло Бионда серия "Лидер" (А/ц)</t>
  </si>
  <si>
    <t>Раннеспелый, от всходов до полного развития розетки 30 дней. Формирует рыхлую, открытую головку высотой 20-25 см и массой 150 г. Листья хрустящие, прекрасного вкуса. Сорт пригоден для круглогодичной культуры в теплицах и выращивания в течение всего сезона в открытом грунте. Урожайность 3,0 кг/м2.</t>
  </si>
  <si>
    <t>4601729112942</t>
  </si>
  <si>
    <t>Салат Лолло микс серия "Лидер"  (А/л)</t>
  </si>
  <si>
    <t>Смесь популярных хрустящих салатов Лолло Бионда и Лолло Росса. Формируют розетки за 35-45 дней от всходов. Высота розеток 20-25 см, Ø 25-30 см. Листья сильногофрированные, кудрявые.</t>
  </si>
  <si>
    <t>4601729063749</t>
  </si>
  <si>
    <t>Салат Лолло Росса серия "Лидер" 1 гр (А/л)</t>
  </si>
  <si>
    <t>Раннеспелый (период от массовых всходов до хозяйственной годности 35-40 дней). Листья нежные, хрустящие, красновато-розового цвета, гофрированные, очень декоративные. Масса растения 350 г. Отличается устойчивостью к цветушности и длительным периодом использования.</t>
  </si>
  <si>
    <t>4601729098970</t>
  </si>
  <si>
    <t>Салат Сезон чудес серия "Лидер"(А/л)</t>
  </si>
  <si>
    <t>Скороспелый сорт, от всходов до полного развития розетки 30-40 дней. Розетка крупная, высотой 25 см, 0 25-40 см, массой 145 г. Листья хрустящие, прекрасного вкуса. Сорт устойчив к цветушности, рекомендуется для выращивания в открытом грунте с ранней весны до поздней осени.</t>
  </si>
  <si>
    <t>4601729173752</t>
  </si>
  <si>
    <t>Свекла Бордо 237 серия "Лидер" (А/л)</t>
  </si>
  <si>
    <t>Сорт среднеранний, урожайный. Корнеплоды округлые. Мякоть темно-красная с бордовым оттенком, без кольцеватости, сочная, нежная, сахарная. Масса корнеплода 230-500 г.</t>
  </si>
  <si>
    <t>4601729179013</t>
  </si>
  <si>
    <t>Свекла Бордо односемянная серия "Лидер" (А/л)</t>
  </si>
  <si>
    <t>Новый улучшенный, среднеспелый сорт универсального использования. Не требует прореживания. Корнеплод округлый, бордовый, массой 250-350 г. Мякоть темно-красная, нежная, сочная, без кольцеватости.</t>
  </si>
  <si>
    <t>4601729174650</t>
  </si>
  <si>
    <t>Свекла Винегрет серия "Лидер" 2 гр (А/л)</t>
  </si>
  <si>
    <t>Среднеранний сорт. Корнеплоды округлые, с небольшой головкой. Мякоть темно-красная с бордовым оттенком, без кольцеватости, сочная, нежная, сахарная. Масса корнеплода 230-500 г. Вкусовые качества отличные.</t>
  </si>
  <si>
    <t>4601729170980</t>
  </si>
  <si>
    <t>Свекла Детройт серия "Лидер" 2 гр  (А/л)</t>
  </si>
  <si>
    <t>Сорт среднеспелый. Корнеплод округлый, гладкий, красный, мякоть темно-красная, без кольцеватости. Масса корнеплода 100-200 г. Вкусовые качества отличные. Сорт отличается стабильной урожайностью, холодостойкостью, устойчивостью к цветушности.</t>
  </si>
  <si>
    <t>4601729179020</t>
  </si>
  <si>
    <t>Свекла Египетская плоская серия "Лидер" (А/л)</t>
  </si>
  <si>
    <t>Сорт раннеспелый, засухоустойчивый. Корнеплоды темно-красные, плоские. Мякоть темно-красная с фиолетовым оттенком, сочная. Масса корнеплода 300-500 г. Вкусовые качества хорошие.</t>
  </si>
  <si>
    <t>4601729170997</t>
  </si>
  <si>
    <t>Свекла Красный шар серия "Лидер" 2 гр (А/л)</t>
  </si>
  <si>
    <t>Сорт скороспелый, урожайный, засухоустойчивый. Корнеплоды округлые, окраска кожицы и мякоти красная, кольцеватость отсутствует. Мякоть сочная, нежная. Сорт устойчив к цветушности.</t>
  </si>
  <si>
    <t>4601729112959</t>
  </si>
  <si>
    <t>Свекла Мулатка серия "Лидер"  (А/л)</t>
  </si>
  <si>
    <t>Среднеcпелый сорт. Период от всходов до уборки 125-130 дней. Масса корнеплода 160-360 г. Мякоть интенсивно окрашенная, без разделения на кольцевые зоны.</t>
  </si>
  <si>
    <t>4601729174667</t>
  </si>
  <si>
    <t>Свекла Несравненная серия "Лидер" (А\ц)</t>
  </si>
  <si>
    <t>Популярный раннеспелый сорт. Урожайность высокая. Корнеплоды плоской и округло-плоской формы, гладкие, массой 170-250 г. Мякоть темнокрасная с бордовым оттенком, нежная и сочная.</t>
  </si>
  <si>
    <t>4601729065804</t>
  </si>
  <si>
    <t>Свекла Одноростковая, серия "лидер" 3г (А/л)</t>
  </si>
  <si>
    <t>Позднеспелый сорт. Период oт всходов до уборки yрожая 120-130 дней. Корнеплоды округлой и oкругло-плоской формы. Масса 300-400 г. Поверхность гладкая. Мякоть темно-бордовая, сочная, нежная.</t>
  </si>
  <si>
    <t>4601729078835</t>
  </si>
  <si>
    <t>Свекла Пабло F1, * серия "Лидер" 1г (А/л)</t>
  </si>
  <si>
    <t>Идеальный современный гибрид. Лидер по качеству корнеплодов. Среднеранний, от всходов до уборки 100-110 дней. Корнеплод Ø 8-10 см, массой 200-300 г. Мякоть темно-бордовая, без колец.</t>
  </si>
  <si>
    <t>4601729175626</t>
  </si>
  <si>
    <t>Свекла Цыганочка, серия "лидер" (А/л)</t>
  </si>
  <si>
    <t>Среднеспелый сорт универсального использования: для домашней кулинарии, консервирования, длительного зимнего хранения, получения пучковой продукции. Ро- зетка листьев полуприподнятая. Корнеплод округлый, красный, массой 230-350 г. Мякоть темно-красная, сочная, высоких вкусовых качеств. Отличается высокой урожайностью, выравненностью корнеплодов, хорошей лежкоспособностью.</t>
  </si>
  <si>
    <t>4601729174698</t>
  </si>
  <si>
    <t>Свекла Червона Кула, * серия "Лидер" (А/л)</t>
  </si>
  <si>
    <t>Популярный скороспелый сорт, от всходов до технической спелости 80-90 дней. Корнеплод округлый, темно-красный, массой 350-400 г. Мякоть бордовая, без колец, с сочной, хрустящей, сладкой мякотью, с высоким содержанием сахаров.</t>
  </si>
  <si>
    <t>4601729112966</t>
  </si>
  <si>
    <t>Свекла Эккендорфская желтая кормовая серия "Лидер"  (А/л)</t>
  </si>
  <si>
    <t>Популярный среднеспелый сорт на корм для домашних животных. Формирует урожай за 115-130 дней от всходов. Корнеплод массой 2-5 кг. Мякоть белая, сочная, высокой питательной ценности. Сорт холодостойкий, не требователен к плодородию почвы.</t>
  </si>
  <si>
    <t>4601729104091</t>
  </si>
  <si>
    <t>Сельдерей Самурай листовой серия "лидер"  0.5г (А/л)</t>
  </si>
  <si>
    <t>Холодостойкий среднеспелый сорт. От всходов до массовой срезки зелени 75-80 дней. Розетка листьев высотой 50-65 см. Масса одного растения до 640 г. Листья с пряным ароматом и отличным вкусом. Используются в свежем и сушеном виде.</t>
  </si>
  <si>
    <t>4601729067228</t>
  </si>
  <si>
    <t>Томат Агата, серия "Лидер" 0,2 г (А/л)</t>
  </si>
  <si>
    <t>Ранний детерминантный сорт для открытого грунта, салатного назначения. Вегетационный период - 98-113 дней. Растение высотой до 45 см, не требует подвязки и пасынкования. Плоды плоско-округлые, гладкие, красные, очень вкусные. Масса плодов 80-100 г. Отличаются высокой транспортабельностью. Урожайность 6-8 кг/м2.</t>
  </si>
  <si>
    <t>4601729140686</t>
  </si>
  <si>
    <t>Томат Бычье сердце серия "Лидер" (А/л)</t>
  </si>
  <si>
    <t>Один из самых вкусных салатных сортов для открытого и защищенного грунта. Вступает в плодоношение на 112-120 день от всходов. Растения детерминантные, высотой до 170 см. Плоды массой 110-250 г (первые – до 400 г). Вкус классический “помидорный” – сладкий, с кислинкой. Урожайность в открытом грунте 4 кг/м2, под пленкой 10-12 кг/м2.</t>
  </si>
  <si>
    <t>4601729188725</t>
  </si>
  <si>
    <t>Томат Волгоградский скороспелый серия "Лидер" (А/л)</t>
  </si>
  <si>
    <t>Сорт раннеспелый (от всходов до созревания плодов 95-110 дней), для выращивания в открытом грунте. Растение детерминантное, высотой 25-40 см. Плод плоскоокруглый, гладкий, красный, массой 85-100 г, очень вкусный. Подходит для консервирования. Урожайность в открытом грунте 4-5 кг/м2.</t>
  </si>
  <si>
    <t>4601729067266</t>
  </si>
  <si>
    <t>Томат Грунтовый Грибовский, серия "лидер" 0.2 г (А/л)</t>
  </si>
  <si>
    <t>Ранний холодо- и болезнестойкий сорт. Пригоден для выращивания в открытом грунте, созревает на 95-110 день после появления всходов. Растение детерминантное, высотой 40-50 см, не требует подвязки и пасынкования. Плод плоскоокруглый, красный, массой 60-90 г. Предназначен в основном для свежего потребления. Урожайность 3-4,5 кг/м2.</t>
  </si>
  <si>
    <t>4601729113024</t>
  </si>
  <si>
    <t>Томат Дубрава,  серия "лидер" 0.1г  (А/л)</t>
  </si>
  <si>
    <t>Один из самых востребованных сортов для О/Г, известный как «ДУБОК». Ско-роспелый, от всходов до уборки 85-105 дней. Растения детерминантные, высотой 40-60 см. Плоды массой 90-110 г, кисло-сладкого вкуса. Урожайность 5-7 кг/м2 .</t>
  </si>
  <si>
    <t>4601729141065</t>
  </si>
  <si>
    <t>Томат Никола серия "Лидер" (А/л)</t>
  </si>
  <si>
    <t>Среднеранний сорт. В открытом грунте куст раскидистый, детерминантный, высотой до 65 см. В соцветии формируется 6-7 округлых, очень вкусных, мясистых плодов, привлекательного красного цвета, массой до 120 г.</t>
  </si>
  <si>
    <t>4601729067327</t>
  </si>
  <si>
    <t>Томат Новичок серия "Лидер" (А/л)</t>
  </si>
  <si>
    <t>Популярный среднеранний сорт для открытого грунта с дружной отдачей урожая. Плодоносит на 114-127 день от всходов. Растения детерминантные, компактные, высотой 50-80 см. Плоды массой 75-100 г, с отличным вкусом. Устойчивы к перезреванию и механическим повреждениям. Использование универсальное. Урожайность 4,5-5,5 кг/м2.</t>
  </si>
  <si>
    <t>4601729161018</t>
  </si>
  <si>
    <t>Укроп Аллигатор * серия "Лидер"  (А/л)</t>
  </si>
  <si>
    <t>Высокопродуктивный среднепоздний сорт. От всходов до уборки зелени 42-45 дней. Растения компактные, сильнооблиственные. Лист крупный, ароматичность сильная. Стеблевание замедленное, что позволяет продлить период использования зеленой массы.</t>
  </si>
  <si>
    <t>4601729161032</t>
  </si>
  <si>
    <t>Укроп Кустистый * серия "Лидер" (А/л)</t>
  </si>
  <si>
    <t>Универсальный среднеспелый сорт. От всходов до уборки на зелень 28-40 дней, на специи 70-80 дней. Ценится за сильную облиственность и ароматичность, длительный период хозяйственной годности.</t>
  </si>
  <si>
    <t>4601729170928</t>
  </si>
  <si>
    <t>Ц Алиссум Снежные узоры серия "Лидер", 0,05 г  (А/л)</t>
  </si>
  <si>
    <t>Изящное почвопокровное растение с чудесным ароматом. За простоту в уходе и неприхотливость его называют цветком для ленивых дачников. Отличный медонос. Подходит для выращивания в контейнерах.</t>
  </si>
  <si>
    <t>4601729165023</t>
  </si>
  <si>
    <t>Ц Вербена Балконная, смесь * серия "Лидер" (А/л)</t>
  </si>
  <si>
    <t>Великолепная смесь с обильным и длительным цветением. Кустики компактные. Цветки ароматные. Растения неприхотливые, холодо- и засухоустойчивые. Подходят для выращивания в горшках.</t>
  </si>
  <si>
    <t>4601729185236</t>
  </si>
  <si>
    <t>Ц Вербена Раннецветущая, смесь * серия "Лидер" (А/л)</t>
  </si>
  <si>
    <t>Яркая смесь популярного летника, идеально подходящего для выращивания на балконах и в саду. Эти компактные кустики будут обильно цвести с начала сезона и до самых заморозков, наполняя пространство ароматом своих ароматных цветков, собранных в плотные соцветия. Растения прекрасно сочетаются как с другими цветами, так и в качестве самостоятельного украшения.</t>
  </si>
  <si>
    <t>4601729170959</t>
  </si>
  <si>
    <t>Ц Годеция Летний шарм, смесь * серия "Лидер" (А/л)</t>
  </si>
  <si>
    <t>Красивая, необычная, почти не требует ухода. По обилию и продолжительности цветения превосходит многие летники. Цветки простые и махровые. Украсит цветники, садовые контейнеры.</t>
  </si>
  <si>
    <t>4601729155475</t>
  </si>
  <si>
    <t>Ц Портулак Махровое покрывало, смесь серия "Лидер" (А/л)</t>
  </si>
  <si>
    <t>Уникальный почвопокровный летник для сухих солнечных мест. Прекрасно цветет на бедных и каменистых почвах. Создаст шикарный бордюр вдоль дорожек, украсит садовые контейнеры.</t>
  </si>
  <si>
    <t>4601729173769</t>
  </si>
  <si>
    <t>Ц Статица Летнее настроение, смесь * серия "Лидер" (А/л)</t>
  </si>
  <si>
    <t>Неприхотливый летник для сухих солнечных мест. Известен также как кермек или лимониум. Подходит для выращивания в садовых вазах. Популярен для составления зимних букетов.</t>
  </si>
  <si>
    <t>4601729155512</t>
  </si>
  <si>
    <t>Ц Флокс Вечная классика, смесь серия "Лидер" (А/л)</t>
  </si>
  <si>
    <t>Крупноцветковая смесь ароматного летника с обильным и длительным цветением. Растения неприхотливые, холодостойкие. Украсят бордюры и цветники. Идеальны для выращивания в горшках и балконных ящиках.</t>
  </si>
  <si>
    <t>4601729155536</t>
  </si>
  <si>
    <t>Ц Хризантема Ванильный зефир * серия "Лидер"  0,1 г (А/л)</t>
  </si>
  <si>
    <t>Неприхотливый летник с махровыми и простыми цветками. Кустики компактные, изящные, с яркой ажурной листвой. Украсит цветники и балконные ящики. Подходит для срезки.</t>
  </si>
  <si>
    <t>4601729155550</t>
  </si>
  <si>
    <t>Ц Эшшольция Королевская роскошь, смесь серия "Лидер" (А/л)</t>
  </si>
  <si>
    <t>Невероятно красивое, легкое в выращивании растение. Пышно цветет махровыми и простыми цветками с начала лета до заморозков. Идеально для сухих, бедных почв и контейнерной культуры.</t>
  </si>
  <si>
    <t>4601729163173</t>
  </si>
  <si>
    <t>Черемша Медвежий деликатес серия "Лидер" (А/л)</t>
  </si>
  <si>
    <t>Зимостойкий многолетний лук. Лист и цветочные стрелки остро-пряного вкуса используются в свежем и консервированном виде. Первый сбор проводят через 15 дней после начала весеннего отрастания. Лист крупный – длиной 20-25 см.</t>
  </si>
  <si>
    <t>4601729113147</t>
  </si>
  <si>
    <t>Эстрагон Гудвин серия "Лидер" (А/л)</t>
  </si>
  <si>
    <t>Пряно-вкусовое многолетнее холодостойкое растение высотой до 1 м. Имеет сильный аромат и слегка горьковатый вкус. Используют в качестве пряной приправы к различным блюдам при консервировании. Посев на рассаду проводят ранней весной. 
 Срезают молодую зелень на высоте 8-10 см и сушат в тени. В течение сезона проводят не менее 2-3 срезок зеленых веточек, которые используют как пряность для салатов, засолки огурцов и консервирования овощей.</t>
  </si>
  <si>
    <t>4601729113154</t>
  </si>
  <si>
    <t>Японская зелень Солнечный Токио, смесь, серия "Лидер"  (А\л)</t>
  </si>
  <si>
    <t>Традиционная японская салатная смесь. Компоненты: капуста Мизуна с красным и зеленым листом, салатная горчица, капуста китайская и амарант. Их зелень считается пищей от старения и пользуется спросом у сторонников здорового питания. Рекомендуется для открытого грунта, пленочных укрытий, круглогодичного выращивания на подоконнике.</t>
  </si>
  <si>
    <t>4601431124875</t>
  </si>
  <si>
    <t>Базилик Грек фиолетовый 15 шт. (Гав.)</t>
  </si>
  <si>
    <t>Гавриш</t>
  </si>
  <si>
    <t>Новый уникальный сорт базилика универсального использования. Образует густоветвистый шаровидный куст. Листочки мелкие, максимум 1–2 см в длину, пурпурной окраски, расположены на побегах густо. Цветение наступает очень поздно, благодаря чему долго сохраняется возможность сбора свежих веточек. Ароматичность очень высокая, даже выше, чем у прославленных традиционных сортов из Армении. Подходит для использования в кулинарии при приготовлении мясных блюд. При соблюдении хорошего дренажа и на солнечном открытом месте может служить отличным кадочным и бордюрным декоративно-лиственным растением. Высота взрослого растения 25–30 см, диаметр 30–40 см.</t>
  </si>
  <si>
    <t>4601431052956</t>
  </si>
  <si>
    <t>Базилик Карлик, зеленый 0,1 г (Гав)</t>
  </si>
  <si>
    <t>Растение раннеспелое, прямостоячее, высотой до 20 см, компактное, побеги полу приподнятые, с большим количеством листьев. Лист среднего размера, зеленый, яйцевидной формы, содержит много витаминов и минеральных веществ, с гвоздично-перечным ароматом.</t>
  </si>
  <si>
    <t>4601431126251</t>
  </si>
  <si>
    <t>Базилик Маленький Грек 0,1 гр. (Гав.)</t>
  </si>
  <si>
    <t>Очаровательный сорт мелколистного зеленого базилика соединяет в себе и декоративные и полезные качества растения. Молодые побеги и листочки базилика с сильным гвоздично-перечным ароматом содержат много витаминов, минералов, эфирных масел. Растение прямостоячее, низкорослое, высотой до 40 см, с прекрасным боковым ветвлением, не требует прищипки. Подходит в качестве горшечной культуры в саду и дома. Сорт среднеспелый (период от полных всходов до начала цветения 61-68 дней). Масса одного растения 100-120 г. Урожайность 0,6-0,7 кг/м2. Используется в свежем и сушеном виде, в качестве пряновкусовой добавки в домашней кулинарии, для украшения различных десертов и фуршетных блюд.</t>
  </si>
  <si>
    <t>4601431047488</t>
  </si>
  <si>
    <t>Базилик Русский гигант зеленый 0,1 гр. (Гав.)</t>
  </si>
  <si>
    <t>Ранний (от всходов до технической спелости 50-60 дней) сорт крупнолистного базилика с зелеными, сладкими листьями впечатляющего размера. Приятный гвоздичный вкус и пряный аромат придаст пикантности салатами и супам, гармонично дополнит блюда из рыбы и мяса, прекрасно сочетается с чесночным соусом. Растение прямостоячее, высотой 50-60 см. Базилик обладает тонизирующими свойствами, улучшает пищеварение.</t>
  </si>
  <si>
    <t>4601431024946</t>
  </si>
  <si>
    <t>Базилик Фиолетовый 0,3 г  (Гав)</t>
  </si>
  <si>
    <t>Среднеспелый сорт, период от всходов до начала цветения h, 70 дней. Растение высотой 60 см. Листья крупные, удлиненно-яйцевидной формы, обладают пряным ароматом душистого перца. Масса растения 250-300 г. Свежие и сухие листья базилика применяют как приправу в кулинарии, для засолки и консервирования.</t>
  </si>
  <si>
    <t>4601431001862</t>
  </si>
  <si>
    <t>Баклажан Багира F1 10 шт. (Гав)</t>
  </si>
  <si>
    <t>Среднеспелый (100-110 дней от всходов до плодоношения) высокорослый (до 1,2 м) гибрид, рекомендован для пленочных укрытий и теплиц. Плоды овальной формы, длиной 12-20 см, темно-фиолетовой окраски, с глянцевой поверхностью, массой 250-300 г. Мякоть средней плотности, белая с зеленым оттенком, без горечи. Сорт ценится за неприхотливость, нежный вкус плодов, удобных в приготовлении.</t>
  </si>
  <si>
    <t>4601431063440</t>
  </si>
  <si>
    <t>Баклажан Грибное удовольствие 0,1 г (Гав)</t>
  </si>
  <si>
    <t>Сорт среднеспелый, первый урожай убирают через 110-145 дней после появления всходов. Растение полураскидистое, низкорослое, высотой 0,6-0,7 м,  для пленочных укрытый и теплиц. Плоды черно-фиолетовые, с нежной кожицей, массой 112-200 г. Плоды с нежной, абсолютно не горькой мякотью и ароматом грибов.</t>
  </si>
  <si>
    <t>4601431112841</t>
  </si>
  <si>
    <t>Баклажан Рома 5 шт. (Гав)</t>
  </si>
  <si>
    <t>Среднеранний (110-120 дней от всходов до плодоношения) высокоурожайный гибрид для выращивания в теплицах и открытом грунте (южные регионы) с подвязкой к опоре. Растение мощное, высокое (до 2 м), сомкнутое. Плоды грушевидной формы, длиной 15-20 см, темно-фиолетовой окраски, с глянцевой поверхностью, массой 220-250 г. Мякоть нежная, беловатая, без горечи. Вкусовые качества отличные.</t>
  </si>
  <si>
    <t>4601431089983</t>
  </si>
  <si>
    <t>Баклажан Русский витязь 0.1г (Гав)</t>
  </si>
  <si>
    <t>Сорт среднеспелый, плоды готовы к уборке через 120-125 дней после появления всходов. Растение полураскидистое, низкорослое, высотой до 1 м для пленочных укрытый и теплиц. Увесистые грушевидные плоды (250-450 г), абсолютно без горечи, с красивой блестящей кожицей. Прекрасно подойдут для фарширования, приготовления на гриле и баклажанной икры.</t>
  </si>
  <si>
    <t>4601431004733</t>
  </si>
  <si>
    <t>Бамия Юнона 5шт.(Гав)</t>
  </si>
  <si>
    <t>Позднеспелый. Период от полных всходов до начала хозяйственной годности 90-115 дней. Теплолюбивое однолетнее растение - травянистая лиана высотой 170-200 см. В пазухах листьев формируются плоды в виде 4-8-гранных стручков (их называют коробочками), в которых заключены семена. На одном растении 10-15 завязей. Плод бамии пальцевидной формы длиной от 6 до 30 см, содержит слизистые вещества и является диетическим блюдом для больных гастритом. В пищу употребляются только молодые (3-6 дневные) завязи зеленого цвета, не снятые вовремя плоды становятся несъедобными.</t>
  </si>
  <si>
    <t>4601431054974</t>
  </si>
  <si>
    <t>Бобы Бориска 10шт. (Гав.)</t>
  </si>
  <si>
    <t>Среднеранний (от всходов до сбора урожая от 75 до 87 дней) высокоурожайный сорт. Растение прямостоячее, высокорослое, среднеоблиственное.</t>
  </si>
  <si>
    <t>4601431046955</t>
  </si>
  <si>
    <t>Бобы Царский урожай 10шт.(Гав.)</t>
  </si>
  <si>
    <t>Среднеранний (от всходов до созревания 72-90 дней) высокопродуктивный сорт. Растение прямостоячее, высотой 90 см. Бобы мясистые, очень длинные (35 см), широкие, с рекордным количеством крупных семян — 8 шт!</t>
  </si>
  <si>
    <t>4601431038400</t>
  </si>
  <si>
    <t>Бобы Янкель Бялы 10шт.(Гав.)</t>
  </si>
  <si>
    <t>Среднеранний (от всходов до технической спелости 75-90 дней) сорт. Растение прямостоячее, высокорослое, среднеоблиственное. Бобы мясистые, длинные, широкие, сильноизогнутые. Зерна крупные, в молочной спелости белые, при созревании - бежевые.</t>
  </si>
  <si>
    <t>4601431011144</t>
  </si>
  <si>
    <t>Газон Мавританский 20 гр.(Гав.)</t>
  </si>
  <si>
    <t>Изысканный ковер из ярких полевых цветов — идеальное место для семейного отдыха. В травосмесь помимо традиционных газонных трав входят однолетние и многолетние цветы, подобранные с учетом высоты и сроков цветения. Рекомендуемая норма высева 3,0-4,0 кг/100 м2. Состав: 50% Овсяница красная красная, 40% Райграс пастбищный, 5% Мятлик луговой, 5% Однолетние и многолетние цветы.</t>
  </si>
  <si>
    <t>4601431042643</t>
  </si>
  <si>
    <t>Горох Медовый стручок 10 гр. (Гав)</t>
  </si>
  <si>
    <t>Среднеранний (55-65 дней от всходов до созревания) сорт сахарного гороха. Растение высотой 70-100 см, Бобы слегка изогнутые, тупые, светло-зеленого цвета, длиной 10 см, с 5-7 гладкими горошинами. Стенки бобов толстые, мясистые, на вкус сладкие, без наличия жестких тканей.</t>
  </si>
  <si>
    <t>4601431046597</t>
  </si>
  <si>
    <t>Горох Первенец серия 1+1 25 гр. (Гав)</t>
  </si>
  <si>
    <t>Раннеспелый (42-45 дней от полных всходов до технической спелости горошка) сорт сахарного гороха. Стебель высотой 90-120 см. Бобы слабоизогнутые с тупой верхушкой, средней длины и ширины, в технической спелости зеленые, пергаментный слой отсутствует. Горошек зеленый, с нежным сладким вкусом. Созревание плодов дружное.</t>
  </si>
  <si>
    <t>4601431015616</t>
  </si>
  <si>
    <t>Горох Рафинад 10гр. (Гав)</t>
  </si>
  <si>
    <t>Среднепоздний (48-62 дня от полных всходов до начала сбора бобов) сахарный сорт. Растения высотой 65-85 см, им требуется подвязка. Боб длинный, до 7,5-9 см, без пергаментного слоя, с 7-9 горошинами. Стенки бобов сахарные, мясистые, сладкие, без наличия жестких тканей.</t>
  </si>
  <si>
    <t>4601431116931</t>
  </si>
  <si>
    <t>Горох Русский гигант 10 гр. (Гав)</t>
  </si>
  <si>
    <t>Среднеспелый сорт, от полных всходов до технической спелости горошка 60-70 дней. Растения высотой 70-80 см, устойчивые к полеганию, с дружным формированием урожая. Бобы длинные (около 9 см), темно-зеленые, с 9-10 горошинами выравненного размера. Принадлежит к группе сортов с семенами мозгового типа. Вкусовые качества такого горошка в фазу молочно-восковой спелости более высокие, чем у обычных гладкозерных сортов. Рекомендуется для использования в свежем виде, для консервирования и замораживания.</t>
  </si>
  <si>
    <t>4601431081949</t>
  </si>
  <si>
    <t>Горох Сахарный стручок 10гр. (Гав)</t>
  </si>
  <si>
    <t>Среднеспелый (68 дней), высокоурожайный сорт сахарного гороха с пучковым расположением бобов.Растение кустовое, сильное, высотой 60-70 см. Длина боба 8-9 см. Имеет высокое содержание белков, углеводов, витаминов и минеральных веществ. Предназначен к употреблению в свежем, консервированном, сухом и замороженном виде.</t>
  </si>
  <si>
    <t>4601431000575</t>
  </si>
  <si>
    <t>Дыня Злато скифов 15 шт.(Гав.)</t>
  </si>
  <si>
    <t>Среднеранний (75-80 дней от всходов до плодоношения) гибрид, предназначен для выращивания в пленочных теплицах. Посев на рассаду в конце апреля. Высадка рассады в конце мая – начале июня в возрасте 30-35 дней. Схема посадки 70х150 см. Растения подвязывают к шпалере, до высоты 50 см удаляют все боковые побеги, последующие прищипывают над 1-3 листом. На одном растении образуется 2-3 плода. Плоды округлой формы, желтой окраски, массой 1100-1300 г, покрыты плотной нежной сеткой. Мякоть желтая, сочная, с очень приятным стойким ароматом. Полив умеренный, особенно в период созревания плодов. Гибрид устойчив к мучнистой росе.</t>
  </si>
  <si>
    <t>4601431124066</t>
  </si>
  <si>
    <t>Кабачок Крукнек (Гав)</t>
  </si>
  <si>
    <t>Раннеспелый (60-65 дней от всходов), урожайный сорт Крукнек имеет плоды необычной булавовидной формы с вытянутой загнутой шейкой («кривошейка»). Растение кустовое, 50-70 см в высоту. Плоды золотисто-желтые с бугристостью кожуры. Мякоть с нежным ореховым вкусом кремового оттенка, нежная, по питательности и полезности не уступает другим сортам кабачков. Масса 0,5-1 кг (до 3 кг). Молодые кабачки могут употребляться в свежих салатах. Сорт рекомендуется для домашней кулинарии, консервирования и маринования. Выращивают как рассадным способом, так и прямым посевом в грунт.</t>
  </si>
  <si>
    <t>4601431081475</t>
  </si>
  <si>
    <t>Кабачок Кулинарный 2 гр. (Гав)</t>
  </si>
  <si>
    <t>Кабачок типа спагетти отличается от обычного кабачка своей мякотью, внешне напоминающую длинную вермишель. Растение раннеспелое (45-50 дней от полных всходов до первого сбора плодов), плетистое. Лист мелкий, зеленый, без пятнистости. Плод овальной формы, массой до 1 кг, с гладкой бело-кремовой кожицей. Мякоть волокнистая, сладкая, отличных вкусовых качеств. Используется для приготовления кабачковой икры, запеканки, гарнира. В результате кулинарной обработки нежная витаминная мякоть распадается на аппетитное овощное спагетти. Выращивается, как обычный неприхотливый кабачок, рассадным способом или прямым посевом в грунт.</t>
  </si>
  <si>
    <t>4601431048348</t>
  </si>
  <si>
    <t>Кабачок Отличник F1 (Германия) (Гав)</t>
  </si>
  <si>
    <t>Среднераниий (50 дней от всходов до технической спелости) гибрид. Растение полуплетистое. Плоды в технической спелости булавовидной формы, ребристые, беловато-зеленые, средней длины, небольшого диаметра, массой 0,5-0,8 кг. Мякоть толстая, нежная, сочная, очень вкусная. Гибрид устойчив к повышенным температурам. Урожайность до 10,8 кг/м2</t>
  </si>
  <si>
    <t>4601431008885</t>
  </si>
  <si>
    <t>Кабачок Цукеша 2 гр. (Гав)</t>
  </si>
  <si>
    <t>Раннеспелый (45-51 день) высокоурожайный сорт. Растение кустовое, боковые побеги отсутствуют. Главная плеть короткая. Плод цилиндрической формы со сбегом к плодоножке, массой 0,8-0,9 кг. Поверхность плода гладкая, темно-зеленая, крапчатая, цвет крапинок светло-зеленый. Мякоть белая. Рекомендуется для употребления в свежем виде, для консервирования и кулинарной переработки.</t>
  </si>
  <si>
    <t>4601431023758</t>
  </si>
  <si>
    <t>Кабачок Чайка 2гр. (Гав)</t>
  </si>
  <si>
    <t>Раннеспелый (36-44 дней от всходов до начала созревания) сорт. Выращивается как рассадным способом, так и прямым посевом в грунт. Посев на рассаду - в апреле, высадка рассады в грунт - в мае – июне. Посев непосредственно в грунт в конце мая – июне. Хорошо отзывается на внесение органических удобрений. Плоды молочно-белые, цилиндрические, массой 0,5-0,9 кг. Поверхность плода гладкая, у плодоножки слаборебристая. Мякоть белая или светло-кремовая, средней плотности. Вкусовые качества отличные. Схема посадки 60x60 см. Урожайность до 9,0 кг/м2.</t>
  </si>
  <si>
    <t>4601431119543</t>
  </si>
  <si>
    <t>Кабачок Щучка 1 г  (Гав)</t>
  </si>
  <si>
    <t>Раннеспелый (44-48 дней от всходов до первого сбора) гибрид с дружной отдачей самых первых плодов. Растение компактное. Плоды гладкие, грушевидной формы, светло-зеленые с мелкими точками, массой 0,6-0,9 кг. Мякоть кремово-белая, нежная, отличного вкуса. Молодые плоды можно добавлять свежими в салат или использовать для тушения, жарки, приготовления кабачковой икры и консервирования. Кабачок отличается ранним интенсивным плодоношением, позволяя собрать обильный урожай аппетитных плодов. Урожайность 5,2-8,5 кг/кв.м.</t>
  </si>
  <si>
    <t>4601431061965</t>
  </si>
  <si>
    <t>Капуста б/к Агрессор F1 10 шт. (Голландия) (Гав) 217759301</t>
  </si>
  <si>
    <t>Гибрид белокочанной капусты голландского происхождения со среднепоздним сроком созревания. Сорт относительно новый, но уже полюбился многими садоводами, поскольку неприхотлив к условиям выращивания</t>
  </si>
  <si>
    <t>4601431093942</t>
  </si>
  <si>
    <t>Капуста б/к Адема 10 шт. (Гав)</t>
  </si>
  <si>
    <t>Раннеспелый (90-105 дней от всходов до технической спелости) гибрид для использования в свежем виде и краткосрочного хранения. Лист среднего размера, зеленый, слабопузырчатый, слабоволнистый по краю, со слабым восковым налетом. Кочан красивой округлой формы, с плотной внутренней структурой и короткой внутренней кочерыгой, на разрезе желтоватый, массой 0,9-1,5 (до 2) кг. Отличается устойчивостью к растрескиванию кочанов. Вкусовые качества хорошие. Урожайность до 4,3 кг/ кв.м.</t>
  </si>
  <si>
    <t>4601431004481</t>
  </si>
  <si>
    <t>Капуста б/к Атрия 10шт. (Гав) 217759609</t>
  </si>
  <si>
    <t>Позднеспелый (137-147 дней от всходов до технической спелости) гибрид. Посев на рассаду в начале апреля. Пикировка в фазе семядолей. Высадка в грунт в середине-конце мая по схеме 60х40 см. Розетка листьев полуприподнятая, средняя. Кочан округлый или плоскоокруглый, массой 1,5-3,7 кг, высокой плотности. Наружная окраска серовато-зеленая, на разрезе зеленовато-белая. Гибрид характеризуется высокой выравненностью и плотностью кочанов, дружным формированием урожая, устойчивостью к растрескиванию. Рекомендован для потребления в свежем виде, длительного зимнего хранения и промышленной переработки. Относительно устойчив к серой гнили. Урожайность 3,5-10,0 кг/м2.</t>
  </si>
  <si>
    <t>4601431051904</t>
  </si>
  <si>
    <t>Капуста б/к Вестри 10 шт. (Гав)</t>
  </si>
  <si>
    <t>Среднеспелый (созревает через 90-95 дней после высадки рассады в грунт) популярный высокоурожайный гибрид. Кочаны округло-плоские, однородные, очень плотные, с тонкими, сочными внутренними листьями и короткой кочерыгой, массой 4-8 кг, устойчивы к растрескиванию.</t>
  </si>
  <si>
    <t>4601431033481</t>
  </si>
  <si>
    <t>Капуста б/к Голова садовая 0.1 гр.(Гав)</t>
  </si>
  <si>
    <t>Скороспелый (85-100 дней от всходов до технической спелости) сорт. Кочаны округлые, достаточно плотные, с короткой внутренней кочерыгой. Наружная окраска кочана бело-зеленая. Масса 1,4-1,8 кг.</t>
  </si>
  <si>
    <t>4601431052338</t>
  </si>
  <si>
    <t>Капуста б/к Грин Бой F1 (Саката) (Гав) 218544493</t>
  </si>
  <si>
    <t>Среднеранний (80-85 дней от всходов до технической спелости) гибрид. Лист среднего размера, серо-зеленый, с сильным восковым налетом, пузырчатый. Кочан округлый, плотный, покрытый, зеленый, на разрезе желтоватый. Внутренняя и наружная кочерыги короткие. Масса кочана 2,0-4,3кг (зависит от плотности посадки). Ценность гибрида: отменные вкусовые качества, высокая урожайность, жаростойкость, устойчивость к фузариозу. Рекомендуется для употребления в свежем виде, кулинарной переработки и засолки</t>
  </si>
  <si>
    <t>4601431081062</t>
  </si>
  <si>
    <t>Капуста б/к Находка в грядке 0,1 гр. (Гавриш)</t>
  </si>
  <si>
    <t>Раннеспелый (75-105 дней от всходов до технической спелости) сорт. Розетка среднего размера. Листья округлые, со слабым восковым налетом, сочные, сладкие. Кочан аккуратный, плотный, массой 0,8-1,2 кг.</t>
  </si>
  <si>
    <t>4601431061989</t>
  </si>
  <si>
    <t>Капуста б/к Нозоми F1 10 шт. Саката (Гав) 218542945</t>
  </si>
  <si>
    <t>Раннеспелый (103-130 дней от всходов до технической спелости) гибрид для открытого грунта и пленочных теплиц. Лист серо-зеленый, пузырчатый, слабоволнистый по краю. Кочан округлой формы, покрытый, плотный, на разрезе желтоватый, массой 1,3-2,0 кг. Наружная кочерыга очень короткая, внутренняя – короткая до средней длины. Гибрид отличается высокой урожайностью, отличным вкусом, устойчивостью к растрескиванию. Рекомендуется для употребления в свежем виде.</t>
  </si>
  <si>
    <t>4601431051942</t>
  </si>
  <si>
    <t>Капуста б/к Пандион 10 шт. Голландия (Гав)</t>
  </si>
  <si>
    <t>Ранний (созревает через 55 дней после высадки рассады) очень популярный гибрид. Растение компактное. Кочаны круглые, гладкие, массой 1-2 кг, с тонкими сочными листьями, плотно прилегающими друг к другу, и короткой внутренней кочерыгой. Наружная окраска кочана ярко-зеленая, на разрезе - беловатая.</t>
  </si>
  <si>
    <t>4601431048898</t>
  </si>
  <si>
    <t>Капуста б/к Парел 10 шт. Голландия (Гав) 217761560</t>
  </si>
  <si>
    <t>4601431052352</t>
  </si>
  <si>
    <t>Капуста б/к Файтер F1 (хран)  10 шт. Саката (Гав)</t>
  </si>
  <si>
    <t>Позднеспелый (120-130 дней от всходов до технической спелости) гибрид. Растение мощное. Лист среднего размера, серо-зеленый с восковым налетом, слабопузырчатый. Кочан округлой формы, очень плотный, на разрезе желтоватый, массой 2,5-4,5 кг. Внутренняя и наружная кочерыга длинная. Ценность гибрида: высокая урожайность, длительное хранение с незначительной потерей веса и без изменения цвета кочана, устойчивость к фузариозному увяданию</t>
  </si>
  <si>
    <t>4601431048928</t>
  </si>
  <si>
    <t>Капуста б/к Харрикейн F1 10 шт. для хранения  (Голландия) (Гав) 217758768</t>
  </si>
  <si>
    <t>Среднепоздний (140-170 дней от всходов до технической спелости) урожайный гибрид. Розетка листьев приподнятая. Кочан округлый, покрытый, плотный, на разрезе беловатый, массой 2,5-4,5 кг, с хорошими вкусовыми качествами. Наружная окраска зеленая, темно-зеленая, имеется средний восковой налет.</t>
  </si>
  <si>
    <t>4601431076068</t>
  </si>
  <si>
    <t>Капуста брокколи Кудряшка 0,1 гр. (Гав)</t>
  </si>
  <si>
    <t>Позднеспелый сорт. Растение низкое, одностебельное, без боковых побегов, не образует вторичные головки. Розетка листьев приподнятая. Лист средний, серовато-зеленый, пузырчатый, волнистый по краю. Черешок средней длины, без антоциановой окраски. Головка округло-плоская, плотная, зеленая, массой 0,6-0,7 кг. Рекомендован для домашней кулинарии и консервирования.</t>
  </si>
  <si>
    <t>4601431062009</t>
  </si>
  <si>
    <t>Капуста брокколи Партенон F1 10 шт. (Саката) (Гав)</t>
  </si>
  <si>
    <t>Среднеранний (80-90 дней от всходов до технической спелости) гибрид. Растение мощное, крупное. Лист среднего размера, серо-зеленый, пузырчатый, волнистый по краю, черешок средней длинны, без антоциановой окраски. Головка крупная, куполообразная, сине-зеленая, плотная, без кроющих листьев, массой до 0,6 кг. Вкусовые качества отличные. Гибрид предназначен для потребления в свежем виде, домашней кулинарии и замораживания. Посев на рассаду производят в конце марта. Пикировку в фазе семядолей. Высадку в грунт — в середине мая по схеме 30х50 см. Урожайность 3,3 кг/кв.м.</t>
  </si>
  <si>
    <t>4601431008915</t>
  </si>
  <si>
    <t>Капуста брюссельская Боксер 0,2гр. (Гав)</t>
  </si>
  <si>
    <t>Среднепоздний (140 дней от высадки рассады до наступления технической спелости) гибрид. Из всех видов капуст - брюссельская наиболее богата витаминами С и В9 (фолацин). Культура холодостойкая, переносит заморозки до –7 °C. Урожайность до 1,6 кг/м2</t>
  </si>
  <si>
    <t>4601431046993</t>
  </si>
  <si>
    <t>Капуста брюссельская Гранатовый браслет 0,1 гр. (Гав)</t>
  </si>
  <si>
    <t>Среднеспелый (120 дней от высадки рассады до наступления технической спелости) гибрид. Культура холодостойкая, переносит заморозки до –7 °С. Растение высотой 60-70 см, в пазухах листьев образуются 30-40 мелких кочанчиков. Общая масса кочанчиков 400-500 г. Кочанчики округлые, среднего размера, пурпурно-красной окраски,</t>
  </si>
  <si>
    <t>4601431008922</t>
  </si>
  <si>
    <t>Капуста брюссельская Розелла 0,1гр. (Гав)</t>
  </si>
  <si>
    <t>Среднеранний сорт. Из всех видов капуст - брюссельская наиболее богата витаминами С и В9 (фолацин). Культура холодостойкая, переносит заморозки до –7 °C. Посев на рассаду март – апрель. Высадка в грунт май – июнь по схеме 45 х 60 см. Растение среднего размера. Вследствие роста верхушечной почки в открытом состоянии развивается высокий побег (до 70 см), в пазухах листьев которого образуются мелкие кочанчики. Кочанчики среднего размера, узкообратнояйцевидной формы, зеленые, массой 13-14 г. Урожай снимают, когда кочанчики станут достаточно плотными и закрытыми. Стебли срубают у корневой шейки, удаляют листья, оставляя кочанчики на стеблях, так как срезанными они быстро вянут. Кочанчики обладают отличными вкусовыми и диетическими качествами. Урожайность до 1,1-1,7 кг/м2.</t>
  </si>
  <si>
    <t>4601431004146</t>
  </si>
  <si>
    <t>Капуста к/к Калибос 0,3 г. (Гав)</t>
  </si>
  <si>
    <t>Среднеспелый (140-150 дней от всходов до технической спелости) сорт. Рекомендуется для садово-огородных участков, приусадебных и мелких фермерских хозяйств. Посев на рассаду в середине марта – начале апреля. Пикировка в фазе семядолей. Высадка в грунт в середине мая по схеме 60х50 см. Растение высокорослое, розетка полувертикальная, диаметром 50-70 см, высотой 30-40 см. Кочан конусовидный, высотой 25-35 см, массой 1,5-2,0 кг, среднеплотный.</t>
  </si>
  <si>
    <t>4601431062016</t>
  </si>
  <si>
    <t>Капуста к/к Рэд Джевел 15 шт. Саката (Гав)</t>
  </si>
  <si>
    <t>Раннеспелый (100-110 дней от высадки рассады до уборки) гибрид. Розетка листьев приподнятая. Листья средней величины, фиолетовые с восковым налетом. Кочан округлый, среднего размера, плотный, частично покрытый, на разрезе темно-фиолетовый, массой до 2,0 кг. Наружная кочерыга короткая, внутренняя – средней длины. Гибрид характеризуется высокой урожайностью, устойчивостью к фузариозу. Рекомендован для употребления в свежем виде и кулинарии. Посев на рассаду — в середине марта-начале апреля. Пикировка в фазе семядолей. Высадка в грунт — в середине мая по схеме 50х60 см. Урожайность до 4,6 кг/кв.м</t>
  </si>
  <si>
    <t>4601431008939</t>
  </si>
  <si>
    <t>Капуста китайская Ласточка 0,3 г. (Гав)</t>
  </si>
  <si>
    <t>Раннеспелый. Черешковый (сортотип Пак-чой). Период от полных всходов до начала технической спелости 35-45 дней. Выращивают посевом семян в грунт. Чтобы получить ранний урожай, используют рассадный метод выращивания (обязательно в горшочках). Растение холодостойкое, светотребовательное и в то же время устойчивое к затенению. Наиболее благоприятная температура для роста и развития 15-22 °C.</t>
  </si>
  <si>
    <t>4601431004528</t>
  </si>
  <si>
    <t>Капуста савойская Вертю 0.2 гр. (Гав)</t>
  </si>
  <si>
    <t>Среднепоздний (120-130 дней от всходов до технической спелости) сорт. Посев на рассаду в начале мая. Пикировка в фазе семядолей. Высадка в грунт в начале июня по схеме 65х50 см. Кочан плоскоокруглой формы, крупный, средней плотности, массой около 2,0 кг. Сорт характеризуется высокими вкусовыми качествами. Рекомендован для потребления в свежем виде в осенне-зимний период и непродолжительного хранения (в течение 2-3 месяцев). Урожайность 5-6 кг/м2.</t>
  </si>
  <si>
    <t>4601431064409</t>
  </si>
  <si>
    <t>Капуста савойская Голубцы 0.2 гр. (Гав)</t>
  </si>
  <si>
    <t>Среднепоздний (120-130 дней от всходов до технической спелости) сорт. Листья большие, темно-зеленые, гофрированные, сильнопузырчатые. Кочан плоскоокруглой формы, крупный, средней плотности, массой около 2,0 кг.</t>
  </si>
  <si>
    <t>4601431048935</t>
  </si>
  <si>
    <t>Капуста цв. Гудман 10 шт.(Голландия)  (Гав)</t>
  </si>
  <si>
    <t>Среднеранний (65-80 дней от высадки рассады до сбора урожая) гибрид. Розетка листьев вертикальная. Головка плоскоокруглая, белая, частично покрыта листьями, бугристость средняя. Масса головки 0,8-1,5 кг. Вкусовые качества отличные. Гибрид ценится за высокую урожайность, прекрасное качество одинаковых головок. Рекомендован для переработки и заморозки. Урожайность 3,2-4,6 кг/м2. Посев на рассаду — в середине апреля.</t>
  </si>
  <si>
    <t>4601431019881</t>
  </si>
  <si>
    <t>Катран Аккорд 0,5 гр. (Гав)</t>
  </si>
  <si>
    <t>Двух-трехлетняя культура, выращиваемая как улучшенный аналог хрена. Корни катрана богаче по химическому составу и вкусовым качествам, а также более технологичны при переработке (корешок не ветвится). Сорт рекомендован для использования в свежем и переработанном виде, как корней так и листьев. Розетка листьев полуприподнятая, хорошо облиственная. Лист крупного размера, нежный, сочный, без опушения. Корнеплод цилиндрический, прямой, гладкий , массой 150-250 г. Мякоть белая, плотная, со вкусом и ароматом как у хрена. Посев семенами под зиму или весной после 3-х месячной стратификации. Рекомендуемая схема посадки – 70х40см. Предпочитает хорошо структурированные, плодородные почвы. Средняя урожайность – 3,9 кг/м2.</t>
  </si>
  <si>
    <t>4601431082533</t>
  </si>
  <si>
    <t>Клевер Витязь луговой 20гр. (Гав.)</t>
  </si>
  <si>
    <t>Многолетнее растение с прямыми, слегка опушенными стеблями темно-зелеными, эллиптическими листьями, небольшими цветками розовой окраски, собранными в шаровидные головки. Позднеспелый (95-131 день до созревания) сорт. Куст полупрямостоячий. Высота стеблей до 50 см, среднее число междоузлий - 7- 8, облиственность равномерная. Высокоурожайный, хорошо растет на любых почвах, не требует частой стрижки, нет необходимости дополнительно удобрять, устойчив к вытаптыванию, солнцелюбив, зимостоек, прекрасный медонос.</t>
  </si>
  <si>
    <t>4601431006157</t>
  </si>
  <si>
    <t>Лаванда узколистная Вознесенская 34   0,05 гр.(Гав)</t>
  </si>
  <si>
    <t>Одно из самых душистых многолетних растений с ценными лекарственными, пряно-ароматическими и медоносными свойствами. Серо-зеленые веточки образуют плотный куст почти шаровидной формы до 70 см в диаметре, с многочисленными яркими фиолетово-сиреневыми соцветиями. Имеет сильные антисептические и антиспазматические свойства, способствует быстрому заживлению ран.  Предпочитает солнечные, теплые, защищенные от ветра участки с сухой, хорошо дренированной почвой.</t>
  </si>
  <si>
    <t>4601431004924</t>
  </si>
  <si>
    <t>Лопух японский Самурай (Гав)</t>
  </si>
  <si>
    <t>Двулетнее травянистое растение со стержневым ветвистым корнем. В первый год жизни дает сочный корень (корнеплод) и розетку листьев. Во второй год растение зацветает, образуя ветвистый побег высотой 100-140 см. Масса корнеплода 200-600 г. Культивируется растение для получения корнеплодов и молодых листьев, которые используются в кулинарии и как лекарственное средство.</t>
  </si>
  <si>
    <t>4601431005167</t>
  </si>
  <si>
    <t>Лофант анисовый Франт 0,3 г (Гав)</t>
  </si>
  <si>
    <t>Многолетнее травянистое растение семейства Яснотковые, имеющее анисовый аромат. Надземную часть используют в свежем виде для приготовления салатов и чая. Лофант является прекрасным медоносом и обладает уникальными лекарственными свойствами.</t>
  </si>
  <si>
    <t>4601431082038</t>
  </si>
  <si>
    <t>Лук батун Грин Баннер 0,2 гр (Гав)</t>
  </si>
  <si>
    <t>Раннеспелый сорт. Растение многолетнее, высокое, с мощной корневой системой, массой 90 г. Листья дудчатые, прямостоячие, зеленые, с восковым налетом средней интенсивности, длиной 55 см, нежные, сочные, полуострого вкуса.  Ложный стебель без антоциановой окраски.  Рекомендуется для использования зеленых листьев в свежем виде. Сорт устойчив к фузариозной и розовой гнилям корней.</t>
  </si>
  <si>
    <t>4601431085046</t>
  </si>
  <si>
    <t>Лук батун Изумрудный 0,5 гр + Салат Яхонт 0,5гр. серия Дуэт (Гав)</t>
  </si>
  <si>
    <t>Лук батун Изумрудный. Раннеспелый (30-33 дня) салатный сорт. Растение средней высоты, со средней степенью ветвления. Листья прямостоячие, зеленые, со слабым восковым налетом, с высоким содержанием сахара и сухого вещества. Вкус полуострый.
Салат мини Яхонт. Среднеспелый (57 дней) сорт кочанного типа. Листья интенсивно окрашенные, красноватые, с антоциановой окраской, поверхность слабоморщинистая. Консистенция листьев плотная, маслянистая. Кочан массой 410 г, плоскоокруглый, средней плотности, размером 14х16 см. Вкус отличный.</t>
  </si>
  <si>
    <t>4601431085077</t>
  </si>
  <si>
    <t>Лук Бычок репч. 0,5 г+Земляника Александрия 0,03 г серия Дуэт Хорошие соседи (Гав)</t>
  </si>
  <si>
    <t>Бычок-Среднеспелый сорт. Луковица плоскоокруглая, массой 60-80 г, вкус острый, окраска сухих чешуй коричнево-желтая. Луковицы способны храниться не менее 9 месяцев. Рекомендуется для выращивания в однолетней культуре. Александрия-Сорт ремонтантной земляники, не образует усов, непрерывно плодоносит до осени. Ягоды среднего размера, красные, сладкие, с сильным ароматом лесной земляники. Посев — в марте-апреле.</t>
  </si>
  <si>
    <t>4601431005198</t>
  </si>
  <si>
    <t>Лук Ред Барон 0,2гр.(Гав)</t>
  </si>
  <si>
    <t>Раннеспелый (92-95 дней от всходов до массового полегания и пожелтения листьев) сорт. Рекомендуется для выращивания в однолетней культуре из семян на садово-огородных участках, в приусадебных и фермерских хозяйствах. Выращивают рассадным способом или посевом в открытый грунт на глубину 1,0-1,5 см. Луковица плоскоокруглая, массой 18-24 г. Сухие чешуи красного цвета, сочные чешуи – светло-фиолетовые. Вкус полуострый. Товарная урожайность 1,5-2,0 кг/м2.</t>
  </si>
  <si>
    <t>4601431001664</t>
  </si>
  <si>
    <t>Лук Штуттгартен Ризен 0,5 гр.(Гав)</t>
  </si>
  <si>
    <t>Высокоурожайный, имеет универсальное назначение. Хорошо замораживается и благодаря высокому содержанию сухих веществ отлично сушится. Пригоден для консервирования и использования в любом блюде</t>
  </si>
  <si>
    <t>4601431008595</t>
  </si>
  <si>
    <t>Лук Эксибишен 0,2 гр. Голландия (Гав)</t>
  </si>
  <si>
    <t>Высокоурожайный позднеспелый (100-130 дней от всходов до массового полегания листьев), сладкий салатный сорт с интенсивным формированием луковицы. Один из лучших для суперранней срезки зелени. Для получения крупных луковиц выращивают в однолетней культуре через рассаду. Рекомендуется для употребления в свежем виде, приготовления салатов, ранней выгонки на перо.</t>
  </si>
  <si>
    <t>4601431079212</t>
  </si>
  <si>
    <t>Лук Ялтинский белый репч. 1 гр.(Гав)</t>
  </si>
  <si>
    <t>Среднеспелый (135-148 дней от всходов до массового полегания листьев) салатный сорт. Луковица плоскоокруглая, массой 100-140 г. Окраска сухих и сочных чешуй — белая. Мясистые чешуи широкие, полуострого вкуса. Рекомендуется для выращивания в южных регионах посевом семян в открытый грунт в конце апреля-начале мая на глубину 1,0-1,5 см. В северных - через рассаду.</t>
  </si>
  <si>
    <t>4601431089273</t>
  </si>
  <si>
    <t>Майоран Садовник 0,1 гр. (Гав)</t>
  </si>
  <si>
    <t>Однолетний травянистый полукустарник высотой 50-55 см. Майоран — тепло- и светолюбивое растение. Засухоустойчивое, но в начале роста и развития отрицательно реагирует на недостаток влаги. Предпочитает рыхлые, хорошо дренированные плодородные почвы. Хорошо отзывается на удобрения. Цветет в июне-июле; массовое цветение — в начале июля</t>
  </si>
  <si>
    <t>4601431048287</t>
  </si>
  <si>
    <t>Малина Сладкая ягодка 10 шт. (Гав.)</t>
  </si>
  <si>
    <t>Ягоды, кустарники</t>
  </si>
  <si>
    <t>Многолетний скороплодный кустарник высотой 1,5-2,0 м из семейства Розоцветные, с однолетними и двулетними надземными побегами, многолетним корневищем и придаточными корнями. Малина зацветает сразу после весенних заморозков. Плодоносит через месяц с начала цветения в течение 30 дней. Плод — сборная костянка (чаще называют ягодой), ярко-красного цвета, округлая, массой 2,0-5,5 г. Ягоды нежные, сладко-кислые, освежающего вкуса.</t>
  </si>
  <si>
    <t>4601431100220</t>
  </si>
  <si>
    <t>Мангольд Невеста 2,0гр. (Гав)</t>
  </si>
  <si>
    <t>Мангольд или листовая свекла — ценная овощная культура из семейства Маревые. Сорт среднеспелый, от всходов до уборки урожая проходит 55-65 дней. Молодые листья и черешки мангольда содержат много витаминов и минеральных веществ.  Розетка листьев вертикальная, компактная, высотой до 60 см. Листья среднего размера, темно-зеленые, слабопузырчатые, нежные, вкусные. Черешки длинные, широкие, сочные, белые с золотистым оттенком, длиной 30-45 см. Сорт сравнительно засухо- и холодоустойчив. В кулинарии листья мангольда используются для приготовления голубцов, овощных супов, рагу, черешки растения маринуют, тушат, делают икру. Посев в открытый грунт — в начале мая, на глубину 2,5 см. Допускается многократная срезка.   Урожайность листьев и черешков 6-7 кг/м2.</t>
  </si>
  <si>
    <t>4601431129498</t>
  </si>
  <si>
    <t>Мелисса лекарственная Лимонный аромат 0,05 гр. (Гав)</t>
  </si>
  <si>
    <t>Многолетнее эфиромасличное травянистое растение семейства Яснотковые высотой до 120 см. Лист среднего размера, яйцевидной формы, зеленый, слабоморщинистый, по краям зазубренный. Листья и молодые побеги, срезанные до цветения, используют в качестве пряности.</t>
  </si>
  <si>
    <t>4601431003675</t>
  </si>
  <si>
    <t>Мелотрия Колибри (мини-арбуз) 20 шт. (Гав)</t>
  </si>
  <si>
    <t>Малораспространенная овощная культура семейства тыквенных, родом из Африки. Это своеобразный миниатюрный огурец - небольшие плодики (1,5-2,5 см) светло-зеленого цвета по вкусу напоминают огурец, а плотная кожица имеет приятный кисловатый привкус. Прекрасно подходит для засолки, маринования, по вкусу напоминает пикули. Однолетнее травянистое растение, которое формирует побеги длиной до 3 м.</t>
  </si>
  <si>
    <t>4601431062450</t>
  </si>
  <si>
    <t>Момордика Дракоша (индийский гранат) 3 шт. (Гав)</t>
  </si>
  <si>
    <t>Красивая экзотическая лиана с резными листьями и желто-оранжевыми съедобными плодами. Внутри плодов находится сочный околоплодник тёмно-рубинового цвета. На вкус он напоминает спелую хурму, а сам плод – тыкву. При созревании плод трескается в нижней части, разворачивается на три мясистых лепестка и семена выпадают. Растение теплолюбивое и светолюбивое, предпочитает места с рыхлыми плодородными почвами, защищенные от ветра и полуденного солнца. В пищу используются недозрелые плоды, которые содержат много белка. Мякоть плодов слегка горьковатая, но очень приятная на вкус. Кроме того момордика обладает уникальными лекарственными свойствами: снижает сахар в крови, помогает при кишечных инфекциях, понижает давление.</t>
  </si>
  <si>
    <t>4601431012981</t>
  </si>
  <si>
    <t>Морковь Бангор F1 150 шт. (Голландия) (Гав)</t>
  </si>
  <si>
    <t>Раннеспелый (100-110 дней от всходов до технической спелости) гибрид. Посев семян в грунт производится в конце апреля – начале мая на глубину 1 см, расстояние между рядками 15 см.Розетка листьев полувертикальная. Корнеплод узкоудлиненный,с гладкой поверхностью, кончик тупой.Сердцевина и кора оранжевые. Масса корнеплода 125-208 г. Вкусовые качества хорошие. Урожайность 1,9-2,7 кг/м2.</t>
  </si>
  <si>
    <t>4601431006799</t>
  </si>
  <si>
    <t>Морковь Витаминная 6  300 шт. гель (Гав)</t>
  </si>
  <si>
    <t>Среднеспелый (78-100 дней от всходов до технической спелости) сорт. Розетка листьев полустоячая. Корнеплод оранжевый, цилиндрический, тупоконечный, длиной 15 см, диаметром 4-5 см, массой 60-160 г. Сердцевина звездчатая и граненая. Боковые корни нитевидные. Глазки мелкие, поверхность гладкая. ожайность 3,7-7,8 кг/м2.</t>
  </si>
  <si>
    <t>4601431046436</t>
  </si>
  <si>
    <t>Морковь Зимний цукат гранулиров. 300 шт. (Гав)</t>
  </si>
  <si>
    <t>Позднеспелый лежкий сорт сортотипа Берликум с отменным вкусом. Корнеплоды оранжевые, цилиндрические, массой 130-180 г. Мякоть плотная, сладкая, сочная, с высоким содержанием каротина. Урожайность 3,5 (до 5,0) кг/м2.</t>
  </si>
  <si>
    <t>4601431046450</t>
  </si>
  <si>
    <t>Морковь Император 300 шт (драж) (Гав)</t>
  </si>
  <si>
    <t>драж</t>
  </si>
  <si>
    <t>Позднеспелый (120-135 дней от всходов до уборки урожая) сорт. Розетка листьев полураскидистая. Корнеплод оранжево-красный, длинный, 25-30 см, цилиндрический со слегка заостренным кончиком (сортотип Берликум), массой 90-100 г. Мякоть плотная, сладкая, ароматная, сочная. Достоинства сорта: выравненные корнеплоды с высоким содержанием сахара и каротина, сохраняют товарные и вкусовые качества до весны. Урожайность 2-4 кг/м2.</t>
  </si>
  <si>
    <t>4601431007680</t>
  </si>
  <si>
    <t>Морковь Канада F1 150 шт. Голландия (Гав)</t>
  </si>
  <si>
    <t>Позднеспелый (120-135 дней от всходов до технической спелости) гибрид голландской селекции. Посев семян в грунт производится в конце апреля - начале мая на глубину 1 см, расстояние между рядками 15 см. Подросшие всходы прореживают, оставляя между растениями по 5-7 см. Розетка листьев полустоячая. Корнеплод полуконический, гладкий, с ярко оранжевой окраской, длиной 20-25 см, диаметром 4-5 см. Корнеплод почти полностью погружен в почву. Масса корнеплода 80-140 г. Гибрид характеризуется устойчивостью к цветушности, высокой лежкостью. Обладает высокой устойчивостью листьев к болезням, продуктивен при самых тяжелых почвенно-климатических условиях. Рекомендован для потребления в свежем виде и хранения. Урожайность 5,5-7,6 кг/м2.</t>
  </si>
  <si>
    <t>4601431083974</t>
  </si>
  <si>
    <t>Морковь Карамель сахарная 70 шт. (Гав)</t>
  </si>
  <si>
    <t>Среднеспелый (100-115 дней от полных всходов до технической спелости) сорт моркови. Корнеплод удлиненно-конусовидный, длиной 18-22 см, массой 100-150 г, с белой корой и сердцевиной, сладкий. Отличные вкусовые качества. Использование универсальное: в свежем виде, кулинарии.</t>
  </si>
  <si>
    <t>4601431006812</t>
  </si>
  <si>
    <t>Морковь Лосиноостровская 13 гранулир. 300 шт (Гав)</t>
  </si>
  <si>
    <t>Сорт среднеспелый. Период от всходов до технической спелости 90-100 дней. Корнеплод цилиндрический, слабо сужающийся к основанию, длиной 16-18 см, массой 160-170 г, с повышенным содержанием каротина. Поверхность гладкая, с мелкими глазками. Мякоть оранжевая, сочная. Вкусовые качества отличные.</t>
  </si>
  <si>
    <t>4601431076013</t>
  </si>
  <si>
    <t>Морковь Мармелад оранжевый 2 гр. (Гав)</t>
  </si>
  <si>
    <t>Раннеспелый сорт с прекрасными вкусовыми качествами. Корнеплод цилиндрический, со слабым сбегом к кончику, оранжевый, практически без сердцевины, длиной 15 см, массой 90-150 г. Рекомендуется для употребления в свежем виде, выращивания на пучковую продукцию, хорошо подходит для хранения.</t>
  </si>
  <si>
    <t>4601431021167</t>
  </si>
  <si>
    <t>Морковь Нарбонне F1 150 шт. Голландия (Гав)</t>
  </si>
  <si>
    <t>Позднеспелый (период от всходов до уборки урожая 135 дней) гибрид сортотипа «Нантская». Рекомендован для потребления в свежем виде и длительного хранения. Привлекательные, выравненные, корнеплоды, устойчивы к растрескиванию и ломкости. Крепкая ботва значительно облегчает уборку. Мякоть сочная, сладкая, однородная, ярко-орнажевого цвета. Гибрид ценится за надежность, высокую урожайность, сохранность, высокие товарные и вкусовые свойства.</t>
  </si>
  <si>
    <t>4601431055339</t>
  </si>
  <si>
    <t>Морковь Нектар F1 150 шт. (Голландия)  (Гав)</t>
  </si>
  <si>
    <t>Среднепоздний (120-125 дней от всходов до технической спелости) гибрид Нантского сортотипа с высоким содержанием каротина и сахара в корнеплодах. Рекомендуется для употребления в свежем виде и длительного хранения. Розетка листьев прямостоячая. Корнеплод длинный, ровный, гладкий, цилиндрический с тупым кончиком, темно-оранжевого цвета, массой 100-150 г. Мякоть сочная, сладкая, практически без сердцевины. Гибрид урожайный, устойчив к растрескиванию и цветушности. Посев семян в грунт производится в конце апреля – начале мая на глубину 1 см, расстояние между рядками 18-20 см. Подросшие всходы прореживают, оставляя между растениями по 5-6 см.</t>
  </si>
  <si>
    <t>4601431085107</t>
  </si>
  <si>
    <t>Морковь Оранжевый дружок 2гр.+Петрушка Бисер 2,0 г серия Дуэт Хорошие соседи (Гав)</t>
  </si>
  <si>
    <t>Оранжевый дружок-Среднеранний сорт с ровными цилиндрическими корнеплодами длиной 20 см и массой 120 г. Мякоть сладкая, ярко-оранжевая, с повышенным содержанием каротина. Сорт устойчив к болезням. Бисер-Скороспелый (55-60 дней) сорт. Розетка листьев полуприподнятая, высотой 39 см. Листовая пластинка средняя, зеленая с тонким черешком. Лист необычайно нежный, с высокой ароматичностью. Сорт прекрасно подойдет как для заморозки, так и для употребления в свежем виде.</t>
  </si>
  <si>
    <t>4601431004672</t>
  </si>
  <si>
    <t>Мята Кубанская 0,05гр. (Гав)</t>
  </si>
  <si>
    <t>Лекарственное многолетнее кустистое растение из семейства Губоцветные. Стебли прямостоячие до 45 см в высоту. Листья зеленые, яйцевидно-ланцетные, снизу опушенные. Цветет в июле-августе. Цветки мелкие, светло-фиолетовые, собраны в колосовидные соцветия. Все растение очень ароматное. В лекарственных целях используют листья, эфирное масло, ментол. Выращивают посевом в открытый грунт и рассадным способом. Посев в открытый грунт проводят с апреля по июнь, на рассаду – в марте. Высаживают с расстоянием между растениями 20-30 см, между рядами 40-50 см. Убирают мяту для сушки в фазе бутонизации. Предпочитает влажные места, рыхлые суглинистые почвы.</t>
  </si>
  <si>
    <t>4601431042612</t>
  </si>
  <si>
    <t>Мята Ментол 0,05 гр. (Гав)</t>
  </si>
  <si>
    <t>Многолетнее кустистое растение из семейства Губоцветные. Стебли прямостоячие до 65 см в высоту. Листья овальные, зеленые со слабой антоциановой окраской. Цветет в июле-августе. Цветки мелкие, сиреневые, собраны в вытянутое соцветие. Основное действующее вещество мяты садовой — карвон, поэтому она не имеет такого сильного охлаждающего и жгучего эффекта как мята перечная. В лекарственных целях используют листья и эфирное масло. Применяют при расстройствах пищеварения, в частности при рвоте, метеоризме, запорах и диарее. Помогает избавиться от икоты, тошноты, неприятных симптомов укачивания.</t>
  </si>
  <si>
    <t>4601431030428</t>
  </si>
  <si>
    <t>Огурец Адам F1 5 шт. (Голландия)(Гав)</t>
  </si>
  <si>
    <t>Раннеспелый (45-52 дня) высокоурожайный гибрид с высокой устойчивостью к неблагоприятным факторам внешней среды. Рекомендован для открытого грунта и пленочных теплиц. Плоды цилиндрические, мелкобугорчатые с легким белым опушением, зеленые, массой 90-95 г. Урожайность — 8,2-10,2 кг/м2.</t>
  </si>
  <si>
    <t>4601431048980</t>
  </si>
  <si>
    <t>Огурец Алекс 5 шт. Голландия (Гав)</t>
  </si>
  <si>
    <t>Ранний (от посева до плодоношения 45-50 дней) партенокарпический  гибрид голландской селекции для выращивания в открытом грунте и под временными пленочными укрытиями. Растение среднерослое, среднеплетистое, в каждом узле формируется по 1-3 завязи. Зеленец короткий, темно-зеленый, с очень короткими полосами, мелкобугорчатый, белошипый, массой 70-90 г, с отличным вкусом.</t>
  </si>
  <si>
    <t>4601431049086</t>
  </si>
  <si>
    <t>Огурец Амур 5 шт. (Гав)</t>
  </si>
  <si>
    <t>Ранний (45-55 дней) партенокарпический гибрид для открытого грунта, теплиц и временных пленочных укрытий. Зеленец красивый, цилиндрический, темно-зеленый, с короткими светлыми полосами, мелкобугорчатый, опушение белое. Масса зеленца 95-100 г, длина до 9,5 см, диаметр до 3,2 см. Ценность гибрида: высокая урожайность, отличные вкусовые качества, устойчивость к болезням.</t>
  </si>
  <si>
    <t>4601431030794</t>
  </si>
  <si>
    <t>Огурец Бабайка (парт) 10шт.(Гав)</t>
  </si>
  <si>
    <t>Раннеспелый (45-50 дней от всходов до плодоношения) партенокарпический гибрид с букетным заложением завязей (2-4 в одном узле). Растение сильнорослое с ограниченным ростом боковых побегов. Рекомендован для выращивания в теплицах, под временными пленочными укрытиями и в открытом грунте.</t>
  </si>
  <si>
    <t>4601431048997</t>
  </si>
  <si>
    <t>Огурец Бабушкин внучок (парт)10шт. (Гав)</t>
  </si>
  <si>
    <t>Скороспелый (38-43 дней от всходов до плодоношения) урожайный партенокарпический гибрид преимущественно женского типа цветения для выращивания в открытом грунте и под пленочными укрытиями. Растение мощное, с ограниченным ростом боковых побегов и букетным заложением завязей, до 2-4 шт. в узле. Корнишоны короткие, цилиндрической формы, массой 110-120 г, темно-зеленые, среднебугорчатые, бугорки расположены средне, с белым опушением. Плоды прекрасного вкуса, плотные, хрустящие, с освежающим ароматом.</t>
  </si>
  <si>
    <t>4601431017962</t>
  </si>
  <si>
    <t>Огурец Бакс F1 (пч)  0,5 гр.(Гав)</t>
  </si>
  <si>
    <t>Среднеспелый (50-55 дней от всходов до плодоношения) гибрид смешанного типа цветения, предназначен для выращивания в теплицах. Растения мощные.Зеленец длиной 20-22 см, диаметром 4,0-4,5 см и массой 180-210 г, темно-зеленый со светлыми полосками. Плод цилиндрической формы, поверхность крупнобугорчатая, опушение сложное, шипы белые. Вкусовые качества плодов высокие.</t>
  </si>
  <si>
    <t>4601431012493</t>
  </si>
  <si>
    <t>Огурец Барабулька F1 10 шт. (Гав)</t>
  </si>
  <si>
    <t>Скороспелый (43-48 дней от всходов до плодоношения) партенокарпический гибрид преимущественно женского типа цветения, предназначен для выращивания в открытом и защищенном грунте, а так же под временными пленочными укрытиями. Зеленец длиной 10-12 см, массой 90-100 г, бугорчатый, белошипый, темно-зеленый с белыми полосами до 1/3 плода. Гибрид отличается дружной отдачей урожая благодаря очень большим букетам завязей в узлах на главном побеге (до 8-10 штук).</t>
  </si>
  <si>
    <t>4601431026469</t>
  </si>
  <si>
    <t>Огурец Берендей (парт)10 шт.(Гав)</t>
  </si>
  <si>
    <t>Скороспелый (45-50 дней от всходов до плодоношения) партенокарпический гибрид женского типа цветения. В пазухе листа образуется по 4 завязи. Зеленец небольшой, с плотной мякотью и нежной кожицей, длиной 12-14 см, массой 120-130 г, бугорчатый, белошипый, без горечи. Окраска плодов темно-зеленая, с короткими светлыми полосами.</t>
  </si>
  <si>
    <t>4601431005297</t>
  </si>
  <si>
    <t>Огурец Брейк (парт) 10шт.(Гав)</t>
  </si>
  <si>
    <t>Скороспелый (43-48 дней от всходов до начала плодоношения) партенокарпический гибрид женского типа цветения. Предназначен для выращивания в защищенном грунте. Растение среднерослое, со средней степенью ветвления. Зеленец ярко-зеленый, длиной 9-11 см, массой 80-100 г, бугорчатый, белошипый, без горечи. В пазухах листьев образуется по 2-4 и более завязи на главном побеге и до 8 завязей на боковых.</t>
  </si>
  <si>
    <t>4601431014077</t>
  </si>
  <si>
    <t>Огурец Брейк серия 1+1  (парт) 20 шт.(Гав)</t>
  </si>
  <si>
    <t>4601431052024</t>
  </si>
  <si>
    <t>Огурец Бэби Мини F1  5 шт. (Гав) 182029559</t>
  </si>
  <si>
    <t>Среднеранний (плодоносит через 51 день после появления всходов) партенокарпический (не требует опыления) очень урожайный гибрид корнишонного типа для выращивания под временными пленочными укрытиями и в открытом грунте. Растение женского типа цветения, в каждом узле закладывает по 1-3 корнишона. Плоды короткие, цилиндрические, темно-зеленые, гладкие, длиной 8-10 см, массой 160 г, не перерастают. Урожайность 16,4 кг/м2.</t>
  </si>
  <si>
    <t>4601431042742</t>
  </si>
  <si>
    <t>Огурец Веселые друзья F1 (парт) 0,3 гр. (Гав.)</t>
  </si>
  <si>
    <t>Скороспелый (38-43 дня от всходов до плодоношения) партенокарпический гибрид с букетным заложением завязей (2-5 завязей в одном узле).Плоды цилиндрические, длиной 11-13 см, диаметром 3,5-4,0 см, массой 120-130 г, темно-зеленые, с небольшими светлыми полосами и небольшой пятнистостью вдоль полос. Поверхность плода мелкобугорчатая.</t>
  </si>
  <si>
    <t>4601431005303</t>
  </si>
  <si>
    <t>Огурец Вояж (парт)10шт.(Гав)</t>
  </si>
  <si>
    <t>Новый перспективный очень скороспелый (на 40-45 (!) день вступает в плодоношение), партенокарпический гибрид, преимущественного женского типа цветения, предназначен для выращивания в пленочных теплицах. Растение сильнорослое, побегообразовательная способность средняя. Зеленец небольшой, длиной 10-12 см, бугорчатый, диаметром 3,0-3,5 см, массой 100-110 г, окраска зеленая со светлыми полосами, белошипый, без горечи.</t>
  </si>
  <si>
    <t>4601431029279</t>
  </si>
  <si>
    <t>Огурец Вязниковский 0,5 гр. (Гав)</t>
  </si>
  <si>
    <t>Ранний сорт огурца, опыляемого пчелами, подходит для высадки в открытом грунте и для тепличных укрытий. Плоды длиной 10-14 см имеют массу 100-140 г, светло-зеленого оттенка. Сорт способен приспособиться к любым погодным условиям.</t>
  </si>
  <si>
    <t>4601431024700</t>
  </si>
  <si>
    <t>Огурец Гармонист 10шт. Уд. с. (Гав)</t>
  </si>
  <si>
    <t>Скороспелый (39-42 дня от всходов до плодоношения) партенокарпический гибрид женского типа цветения, предназначен для выращивания в открытом и защищенном грунте. Зеленец цилиндрической формы длиной 10-12 см, массой 90-100 г, бугорки мелкие, расположены часто.</t>
  </si>
  <si>
    <t>4601431030978</t>
  </si>
  <si>
    <t>Огурец Герасим F1 (парт) 10 шт.  (Гав)</t>
  </si>
  <si>
    <t>Скороспелый (39-42 дней от всходов до плодоношения) партенокарпический гибрид с пучковым заложением завязей (до 8 в одном узле!). Предназначен для выращивания в теплицах, под временными пленочными укрытиями и открытом грунте.</t>
  </si>
  <si>
    <t>4601431030435</t>
  </si>
  <si>
    <t>Огурец Герман F1 (парт) 5 шт.Голландия (Гав) 179361740</t>
  </si>
  <si>
    <t>Ранний (40-45 дней от всходов до плодоношения) партенокарпический высокоурожайный гибрид с пучковым заложением завязей. При достаточном питании образует по 6-7 плодов на каждом узле. Предназначен для выращивания в открытом и защищенном грунте.</t>
  </si>
  <si>
    <t>4601431112759</t>
  </si>
  <si>
    <t>Огурец Гномик F1 10 шт. автор. (Гав)</t>
  </si>
  <si>
    <t>Скороспелый (37-42 дней от всходов до плодоношения) партенокарпический гибрид для открытого грунта и пленочных укрытий. Растение женского типа цветения, с ограниченным ветвлением боковых побегов. В узле закладывается по 3-4 завязи. Зеленцы с небольшими светлыми полосками, без крапчатости, мелкобугорчатые, белошипые. Длиной 8-10 см, массой 75-90 г.</t>
  </si>
  <si>
    <t>4601431026476</t>
  </si>
  <si>
    <t>Огурец Динамит F1(парт) 10 шт.(Гав)</t>
  </si>
  <si>
    <t>Партенокарпический раннеспелый (от всходов до начала плодоношения 45-50 дней) гибрид преимущественно женского типа цветения. Растение мощное. Зеленец очень красивый, длиной 12-14 см, бугорчатый, белошипый, массой 110-120 г, салатного использования. Вкусовые качества отличные. Относительно устойчив к основным заболеваниям огурца.</t>
  </si>
  <si>
    <t>4601431096578</t>
  </si>
  <si>
    <t>Огурец Директор F1(парт) 5 шт.(Гав)</t>
  </si>
  <si>
    <t>Среднеспелый (50-55 дней от посева до плодоношения) партенокарпический гибрид для выращивания в теплицах и открытом грунте. Растение среднерослое, сильноветвистое, женского типа цветения. Зеленец средней длины, удлиненно-цилиндрический, темно-зеленый, массой 65-80 г. Поверхность бугорчатая, опушение белое. Мякоть сочная, хрустящая, без горечи, не образует пустот. Вкус отличный.</t>
  </si>
  <si>
    <t>4601431016194</t>
  </si>
  <si>
    <t>Огурец Заначка F1 (пч) 10 шт. (Гав)</t>
  </si>
  <si>
    <t>Скороспелый (38-41 день от всходов до плодоношения) пчелоопыляемый гибрид, предназначен для выращивания в пленочных теплицах, а также во временных пленочных укрытиях. Зеленец цилиндрической формы длиной 10-12 см, массой 110-130 г. Поверхность плода бугорчатая, бугорки средние, расположены часто, окраска шипов белая. В каждой пазухе листа образуется 2-3 завязи</t>
  </si>
  <si>
    <t>4601431080584</t>
  </si>
  <si>
    <t>Огурец Зеленая лавина F1 10 шт  (Гав)</t>
  </si>
  <si>
    <t>Скороспелый (38-40 дней от всходов до плодоношения) партенокарпический гибрид для пленочных теплиц и открытого грунта. Плод 12 см, цилиндрический, темно-зеленый со слабыми светлыми полосками, белошипый. Бугорки среднего размера, расположены довольно часто. Гибрид устойчив к заболеваниям огурца.</t>
  </si>
  <si>
    <t>4601431121737</t>
  </si>
  <si>
    <t>Огурец Зеленые гномики F1 10 шт.  (Гав)</t>
  </si>
  <si>
    <t>Скороспелый (40-45 дней от всходов) партенокарпический гибрид для пленочных теплиц и открытого грунта. Растение компактное с ограниченным ветвлением женского типа цветения. В узле от 3-5 завязей и более. Плод темно-зеленый, бугорчатый, со слабой крапчатостью, белошипый длиной 8 см, массой 75-85 г. Отличается ранним, обильным, дружным плодоношением. Вкусовые качества отличные.</t>
  </si>
  <si>
    <t>4601431042766</t>
  </si>
  <si>
    <t>Огурец Зеленый Змей F1 0.5г  (Гав)</t>
  </si>
  <si>
    <t>Среднепозний пчелоопыляемый сорт с продоложительным периодом плодоношения для выращивания под временными пленочными укрытиями. Растение мощное, интенсивно развивающееся. Зеленец длинный (50-60 см), змеевидный, темно-зеленый, крупно-, редкобугорчатый, с короткой ручкой. Плоды с сильным ароматом, сладкие, сочные, без пустот, с тонкой нежной кожицей и маленькими семенными камерами</t>
  </si>
  <si>
    <t>4601431052178</t>
  </si>
  <si>
    <t>Огурец Зеленый поток F1 (парт)10 шт. (Гав)</t>
  </si>
  <si>
    <t>Раннеспелый (42-45 дней от всходов до плодоношения) партенокарпический гибрид с букетным заложением завязей (до 5 в одном узле) для выращивания в защищенном и открытом грунте и под временными пленочными укрытиями. Плоды цилиндрические, длиной 11-13 см, темно-зеленые, с частыми средними бугорками, белошипые, массой  110-120 г. Сладкие и ароматные .</t>
  </si>
  <si>
    <t>4601431052185</t>
  </si>
  <si>
    <t>Огурец Зеленый экспресс F1 (парт)10 шт. (Гав)</t>
  </si>
  <si>
    <t>Скороспелый (42-47 дней от всходов до плодоношения) партенокарпический гибрид  для выращивания в теплицах, под временными пленочными укрытиями и в открытом грунте. Растения сильнорослые, с ограниченным ростом боковых побегов, которые заканчиваются букетами по 4-6 завязей.Плоды  цилиндрической формы, зеленые, с небольшими светлыми полосами, длиной 9-10 см, диаметром 3,0 см, с четкими, крупными бугорками, черношипые, массой 90-100 г.</t>
  </si>
  <si>
    <t>4601431007642</t>
  </si>
  <si>
    <t>Огурец Зозуля F1 10 шт (парт) (Гав)</t>
  </si>
  <si>
    <t>Раннеспелый, партенокарпический гибрид, салатного назначения. От полных всходов до созревания 45-50 дней. Растение индетерминантное, среднерослое, средневетвистое, преимущественно женского типа цветения, склонное к пучковому образованию завязей. Устойчив к оливковой пятнистости, вирусу огуречной мозаики, относительно устойчив к корневым гнилям</t>
  </si>
  <si>
    <t>4601431079601</t>
  </si>
  <si>
    <t>Огурец Зятек + Тёща F1 (парт) 20 шт. серия Дуэт (Гав)</t>
  </si>
  <si>
    <t>Огурец F1 Зятек. Скороспелый (45-48 дней) партенокарпический гибрид. Зеленец частобугорчатый, белошипый, без горечи, длиной 10-12 см, массой 90-100 г. Окраска плода темно-зеленая со светлыми полосами. Огурец F1 Теща. Скороспелый (45-48 дней) партенокарпический гибрид. Зеленец длиной 11-13 см, массой 100-120 г, бугорчатый, бурошипый, без горечи. Оба гибрида имеют высокую степень устойчивости к заболеваниям, холоду, перепаду температуры. Используют в свежем виде, для засолки и маринования.</t>
  </si>
  <si>
    <t>4601431012516</t>
  </si>
  <si>
    <t>Огурец Зятек F1 (парт) 10 шт. (Гав)</t>
  </si>
  <si>
    <t>Скороспелый (45-48 день от всходов до плодоношения) партенокарпический гибрид женского типа цветения. Предназначен для выращивания в открытом грунте и пленочных теплицах.в фазе 3-4-х настоящих листьев.Зеленец длиной 10-12 см, диаметром 3,0-3,5 см, массой 90-100 г, бугорчатый, белошипый, без горечи. Окраска плода темно-зеленая со светлыми полосами.</t>
  </si>
  <si>
    <t>4601431018075</t>
  </si>
  <si>
    <t>Огурец Зятек F1 (парт) серия 1+1 (Гав)</t>
  </si>
  <si>
    <t>Скороспелый (45-48 день от всходов до плодоношения) партенокарпический гибрид женского типа цветения. Предназначен для выращивания в открытом грунте и пленочных теплицах.Зеленец длиной 10-12 см, диаметром 3,0-3,5 см, массой 90-100 г, бугорчатый, белошипый, без горечи. Можно собирать на пикули и корнишоны. Окраска плода темно-зеленая со светлыми полосами. В пазухе листьев образуется 2-4 завязи (максимум до 6-8 штук).</t>
  </si>
  <si>
    <t>4601431053748</t>
  </si>
  <si>
    <t>Огурец Изумрудная семейка F1 серия 1+1/20 шт. (Гав)</t>
  </si>
  <si>
    <t>Скороспелый (40-43 дня от всходов до плодоношения) партенокарпический гибрид с букетным заложением завязей (до 5 в узле!) для выращивания в теплицах и под временными пленочными укрытиями. Растение женского типа цветения. Плоды цилиндрические, длиной 10-12 см, диаметром 3,5-4,0 см, массой 120-130 г, темно-зеленые с частыми бугорками среднего размера, белошипые. Гибрид устойчив к настоящей мучнистой росе, оливковой пятнистости, среднеустойчив к ложной мучнистой росе. Зеленцы отличного вкуса.</t>
  </si>
  <si>
    <t>4601431042704</t>
  </si>
  <si>
    <t>Огурец Изумрудные сережки F1 (парт) 10шт. (Гав)</t>
  </si>
  <si>
    <t>Скороспелый (42-47 дней от всходов до плодоношения) партенокарпический гибрид с букетным расположением завязей (8-10 в узле!) для выращивания в теплицах, под временными пленочными укрытиями и в открытом грунте.Плоды цилиндрические, длиной 9-11 см, диаметром 3,0-4,0 см, массой 100-110 г, темно-зеленые, с частыми бугорками среднего размера, белошипые.</t>
  </si>
  <si>
    <t>4601431054080</t>
  </si>
  <si>
    <t>Огурец Изумрудные сережки F1 (парт) серия 1+1/20 шт. (Гав)</t>
  </si>
  <si>
    <t>4601431052406</t>
  </si>
  <si>
    <t>Огурец Клодин F1 5 шт. (Голландия)  (Гав.)</t>
  </si>
  <si>
    <t>Раннеспелый (35-45 дней от всходов до плодоношения) партенокарпический гибрид, для выращивания в открытом грунте и под временными пленочными укрытиями. Растение среднерослое, средневетвистое, женского типа цветения. Зеленец короткий, цилиндрический, темно-зеленый, мелкобугорчатый, с белым опушением, массой 85 г, отличного вкуса. Отличается стабильно высокой урожайностью, ранней и дружной отдачей, комплексной устойчивостью к болезням. Гибрид салатного и консервного назначения. Урожайность до 9,8 кг/м2.</t>
  </si>
  <si>
    <t>4601431078710</t>
  </si>
  <si>
    <t>Огурец Крохотуля 10 шт. (Гав.)</t>
  </si>
  <si>
    <t>Скороспелый (38-43 дня от всходов до плодоношения) партенокарпический гибрид для пленочных теплиц и открытого грунта.  Отличается хорошей нагрузкой, экологической пластичностью. В узле по 1-2 завязи. Плод 8-10 см, овально-цилиндрический, темно-зеленый, белошипый, небольшой, массой 80-90 г.</t>
  </si>
  <si>
    <t>4601431079618</t>
  </si>
  <si>
    <t>Огурец Кураж + Мурашка F1 (серия Дуэт) 20 шт. (Гав.)</t>
  </si>
  <si>
    <t>Огурец F1 КУРАЖ. Скороспелый (40-43 дня) партенокарпический гибрид. Растение сильнорослое, средневетвистое. Зеленец длиной 11-14 см, массой 100-120 г, с частыми, среднего размера бугорками, белошипый, без горечи. Огурец F1 МУРАШКА. Скороспелый (43-48 дней) партенокарпический гибрид. Зеленец длиной 11-13 см, массой 90-110 г, с крупными широкими бугорками, черношипый. Выращиваются в открытом грунте и пленочных теплицах.</t>
  </si>
  <si>
    <t>4601431014084</t>
  </si>
  <si>
    <t>Огурец Кураж F1 серия  1+1/20 шт.  (Гав.)</t>
  </si>
  <si>
    <t>Скороспелый партенокарпический гибрид (от всходов до плодоношения 45-50 дней), женского типа цветения. Растения сильнорослые, побегообразовательная способность средняя. В узлах образуется по 2-4 завязи (до 5-6 штук). Зеленец темно-зеленый со светлыми полосами, длиной 12-15 см, массой 120-130 г, бугорчатый, белошипый, универсального использования. Вкусовые качества высокие, без горечи.</t>
  </si>
  <si>
    <t>4601431029323</t>
  </si>
  <si>
    <t>Огурец Кустовой 0,5 гр. Уд.с. (Гав.)</t>
  </si>
  <si>
    <t>Скороспелый сорт, с дружным формированием плодов, женского типа цветения. Предназначен для выращивания в открытом грунте и под временными пленочными укрытиями. Растение компактное, слабоветвящееся. Зеленец удлиненно- яйцевидной формы, темно-зеленый, длина плода 9-12 см, масса - 80-90 г, не желтеет в течение 3-5 дней. Урожайность 10-12 кг/м кв. Засолочный.</t>
  </si>
  <si>
    <t>4601431016200</t>
  </si>
  <si>
    <t>Огурец Лилипут F1 (парт) пикуль 10 шт. (Гав)</t>
  </si>
  <si>
    <t>Скороспелый (38-42 дня от всходов до плодоношения) партенокарпический гибрид женского типа цветения, предназначен для выращивания в открытом и защищенном грунте. Зеленец цилиндрической формы длиной 7-9 см, массой 80-90 г, бугорки средние, расположены часто. В каждой пазухе листа образуется 7-10 завязей. Гибрид устойчив к настоящей и ложной мучнистым росам, оливковой пятнистости и корневым гнилям.</t>
  </si>
  <si>
    <t>4601431011021</t>
  </si>
  <si>
    <t>Огурец Луховицкий F1 (парт) (Гав.)</t>
  </si>
  <si>
    <t>Скороспелый (45-50 дней от всходов до плодоношения) партенокарпический гибрид женского типа цветения. Предназначен для выращивания в защищенном и в открытом грунте под временными пленочными укрытиями. Посев на рассаду в конце апреля. Высадка рассады в грунт в конце мая – начале июня. Гибрид имеет высокую устойчивость к настоящей и ложной мучнистым росам, корневым гнилям. Отличается дружным, ранним урожаем. Урожайность одного растения 6,0-8,0 кг.</t>
  </si>
  <si>
    <t>4601431111875</t>
  </si>
  <si>
    <t>Огурец Любимый внучок 10 шт. (Гав.)</t>
  </si>
  <si>
    <t>Скороспелый (40–45 дней от всходов до плодоношения) партенокарпический гибрид преимущественно женского типа цветения и букетного заложения завязей (по 3–4 в узле), предназначен для выращивания в открытом и защищенном грунте. Зеленец короткий, цилиндрический, темно-зеленый, длиной 10–12 см, массой 90–110 г. Урожайность 10,3–11,8 кг/м²</t>
  </si>
  <si>
    <t>4601431092426</t>
  </si>
  <si>
    <t>Огурец Малахитовый восторг F1 10 шт. (Гав)</t>
  </si>
  <si>
    <t>Раннеспелый (40-45 дней от всходов до плодоношения), партенокарпический гибрид для теплиц, пленочных укрытий и открытого грунта. Растение средневетвистое, женского типа цветения. В узле преимущественно по 2 завязи. Плод ровный, цилиндрический, средне-бугорчатый, темно-зеленый, со слабыми полосами и белыми шипами, длинной 11-13 см, массой 125-140 г. Предназначен для использования в свежем виде, засолке и маринования. Обладает превосходными вкусовыми качествами в свежем и переработанном виде. Гибрид устойчив к настоящей мучнистой росе и оливковой пятнистости. Посев на рассаду — в конце апреля. Высадка рассады в грунт в конце мая–начале июня. Высадка рассады производится в фазе 3–4 настоящих листьев. Посев непосредственно в грунт — в конце мая. Схема посадки: 50х50 см. Семена после уборки сохраняют всхожесть в течение 7 лет при оптимальных условиях хранения. Рекомендуется увеличить норму высева по истечении срока хранения.</t>
  </si>
  <si>
    <t>4601431085138</t>
  </si>
  <si>
    <t>Огурец Малохольный 0,3гр. + Укроп Гренадер 2гр. серия Дуэт (Гав)</t>
  </si>
  <si>
    <t>Огурец F1 Малохольный. Скороспелый (40-45 дней) партенокарпический гибрид с букетным заложением завязей (4-8 в узле) для теплиц и открытого грунта. Плоды цилиндрические, длиной 10-12 см, темно-зеленой окраски, с мелкими частыми бугорками, белошипые.
Укроп Гренадер. Раннеспелый (30-35 дней от всходов до уборки зелени, 70-90 дней от всходов до уборки на специи) сорт. Розетка крупная, приподнятая, высотой 26-29 см. Это облегчает уход при выращивании и меньше загрязняет листву после дождя.</t>
  </si>
  <si>
    <t>4601431042711</t>
  </si>
  <si>
    <t>Огурец Малохольный F1 (парт) 10шт (Гав)</t>
  </si>
  <si>
    <t>Скороспелый (40-45 дней от всходов до плодоношения) партенокарпический гибрид с букетным заложением завязей (4-8 в узле) для выращивания в теплицах, открытом грунте и под временными пленочными укрытиями. Растение сильнорослое, средневетвистое, женского типа цветения. Плоды цилиндрические, длиной 10-12 см, массой 100-110 г, темно-зеленой окраски с небольшой крапчатостью, с мелкими частыми бугорками, белошипые. Гибрид устойчив к основным заболеваниям огурцов.</t>
  </si>
  <si>
    <t>4601431023932</t>
  </si>
  <si>
    <t>Огурец Маменькин любимчик  F1 (парт) 0.5 гр (Гав.)</t>
  </si>
  <si>
    <t xml:space="preserve"> Скороспелый (43-48 дней) партенокарпический (не требует опыления) гибрид для выращивания в открытом и защищенном грунте. Ценится за высокий урожай вкусных хрустящих пикулей и ароматных корнишонов. Рекомендуется для баночного консервирования и бочкового посола. Зеленцы до 8-10 см, массой 80-95 г, прочные, с крупными бугорками, черношипые.</t>
  </si>
  <si>
    <t>4601431038394</t>
  </si>
  <si>
    <t>Огурец Маринда F1 (парт) 10 шт. (Гав)</t>
  </si>
  <si>
    <t>Раннеспелый партенокарпический (не требует опыления) гибрид голландской селекции для выращивания в теплицах и открытом грунте. Растение среднерослое, при достаточном питании в каждом узле формируется до 6-7 завязей. Плоды, темно-зеленые, бугорчатые, с белыми шипами, длиной 8-10 см. Рекомендуются для употребления в свежем виде, засолки и маринования.</t>
  </si>
  <si>
    <t>4601431030442</t>
  </si>
  <si>
    <t>Огурец Маша F1 (парт) 5 шт.(Голландия) (Гав)</t>
  </si>
  <si>
    <t>Суперскороспелый (37-39 дней от всходов до плодоношения) высокоурожайный партенокарпический гибрид с пучковым заложением завязей. Идеальны для засолки и употребления в свежем виде. Гибрид устойчив к вирусу огуречной мозаики, настоящей и ложной мучнистой росе, кладоспориозу. Ценится за «взрывную» урожайность ранннеспелых зеленцов с высокими вкусовыми и товарными качествами. Урожайность — 10-11 кг/м2.</t>
  </si>
  <si>
    <t>4601431052413</t>
  </si>
  <si>
    <t>Огурец Меренга 5 шт. (Голландия)(Гав) 182029609</t>
  </si>
  <si>
    <t>Раннеспелый (37-40 дней от всходов до плодоношения) гибрид. Растение индетерминантное, среднеплетистое, женского типа цветения. Зеленец короткий (8-10 см), цилиндрический, темно-зеленый, без горечи, крупнобугорчатый, с белым опушением, массой до 65 г. В одном узле одновременно формирует до 4-5 плодов. Вкус отличный. Урожайность 15,2 кг/кв.м.</t>
  </si>
  <si>
    <t>4601431062412</t>
  </si>
  <si>
    <t>Огурец Московский салатный F1 10 шт (Гав)</t>
  </si>
  <si>
    <t>Сладкие, с тонкой кожицей и маленькими семенными камерами зеленцы созревают на растении через 40-43 дня. Без опыления (гибрид партенокарпический) в каждом узле стабильно завязывается 2-4 огурчика.  Плоды длиной 12 - 15 см, диаметром 3,5 см, массой 130 - 160 г, цилиндрические, гладкие, глянцевые, темно-зеленого цвета.</t>
  </si>
  <si>
    <t>4601431005228</t>
  </si>
  <si>
    <t>Огурец Мурашка F1 (парт) 10 шт. (Гав)</t>
  </si>
  <si>
    <t>Гибрид скороспелый (43-48 дней от всходов до плодоношения), партенокарпический, женского типа цветения. в каждой пазухе образуется 4 - 6 завязей. Плоды обладают высокими засолочными качествами. Гибрид F1 Мурашка можно выращивать как в защищенном, так и в открытом грунте. Гибрид устойчив к заболеваниям.</t>
  </si>
  <si>
    <t>4601431017931</t>
  </si>
  <si>
    <t>Огурец Муромский 36 (пч)   0,5 гр. (Гав)</t>
  </si>
  <si>
    <t>Раннеспелый (40-45 дней от полных всходов до начала плодоношения), пчелоопыляемый, засолочный сорт. Рекомендуется для выращивания в открытом грунте и под временными пленочнми укрытиями. Посев на рассаду в начале мая. Высадка в грунт в конце мая – начале июня в фазе 2-3-х настоящих листьев.Зеленец удленно-яйцевидной формы, светло-зеленой окраски. Поверхность мелкобугорчатая, опушение смешанное, шипы черные. Длина плода 10-14 см. Масса зеленца 100-140 г, диаметр 4-5 см. Вкусовые качества свежих и консервированных плодов хорошие и отличные. Устойчив к мучнистой росе и бактериозу.</t>
  </si>
  <si>
    <t>4601431042735</t>
  </si>
  <si>
    <t>Огурец Папенькина дочка F1 (парт)10шт. (Гав)</t>
  </si>
  <si>
    <t>Скороспелый (40-43 дня от всходов до плодоношения) партенокарпический гибрид с букетным заложением завязей.Для выращивания в теплицах, под временными пленочными укрытиями, на балконах и лоджиях. Плоды цилиндрические, длиной 12-14 см, диаметром 3,5-4,0 см, массой 130-150 г, темно-зеленые, с бугорками среднего размера, белошипые. Гибрид дает высокие урожаи даже при неблагоприятных условиях выращивания. Устойчив к настоящей мучнистой росе, оливковой пятнистости, среднеустойчив к ложной мучнистой росе.</t>
  </si>
  <si>
    <t>4601431113626</t>
  </si>
  <si>
    <t>Огурец Пекинский деликатес 10 шт. (Гав)</t>
  </si>
  <si>
    <t>Ранний сорт огурца для теплиц и пленочных укрытий. Период от всходов до плодоношения составляет 40-45 дней. Китайские сорта огурцов сочные, без пустот, с тонкой нежной кожицей ароматные и сладкие. Растение высокорослое, мощное, требовательное к плодородию почвы и регулярным подкормкам. Зеленец удлиненно-цилиндрический до 60 см, крупнобугорчатый с короткими полосами и шипами. Масса 350-400 г.</t>
  </si>
  <si>
    <t>4601431005235</t>
  </si>
  <si>
    <t>Огурец Пикник F1 (парт)(пикуль) 10 шт. (Гав)</t>
  </si>
  <si>
    <t>Скороспелый (43-48 дней от всходов до плодоношения) партенокарпический гибрид преимущественно женского типа цветения, предназначен для выращивания в открытом и защищенном грунте, а также под временными пленочными укрытиями. Растение среднерослое, со слабой степенью ветвления. Гибрид отличается дружной отдачей урожая, благодаря очень большим букетам завязей в узлах на главном побеге (до 8-10 штук). Зеленец длиной 10-12 см, массой 90-100 г, частобугорчатый, белошипый.</t>
  </si>
  <si>
    <t>4601431011038</t>
  </si>
  <si>
    <t>Огурец Погребок (пч)  10шт. (Гав)</t>
  </si>
  <si>
    <t>Скороспелый (43-48 дней от всходов до плодоношения) пчелоопыляемый гибрид преимущественно женского типа цветения. Предназначен для выращивания в открытом грунте и под временными пленочными укрытиями.Зеленец цилиндрической формы, слегка зауженный к основанию, длиной 9-11 см, массой 90-100 г, крупнобугорчатый, зеленый с белыми полосами, бурошипый.</t>
  </si>
  <si>
    <t>4601431005358</t>
  </si>
  <si>
    <t>Огурец Пыжик F1 (парт) (пикуль) 10шт.(Гав)</t>
  </si>
  <si>
    <t>Скороспелый партенокарпический гибрид огурца (45-48 дней от всходов до плодоношения), женского типа цветения. Растение сильнорослое, длина главного побега до 3,0-3,5 м. В узлах формируется по 2-4 завязи (до 6-8 штук). Зеленец длиной 10-12 см, диаметром 3,0-3,5 см, массой 90-110 г, бугорчатый.</t>
  </si>
  <si>
    <t>4601431006508</t>
  </si>
  <si>
    <t>Огурец Семкросс F1 (пч) 10шт.(Гав)</t>
  </si>
  <si>
    <t>Раннеспелый (40-43 дня от посева до плодоношения) пчелоопыляемый гибрид, предназначен для выращивания в открытом грунте и под временными пленочными укрытиями. Растение короткоплетистое, длина главного стебля 80-95 см. Зеленец темно-зеленый с размытыми светлыми полосами до 1/3 длины, эллипсовидный, крупнобугорчатый с редким расположением бугорков. Опушение сложное, черное. Длина плода- 8-10 см. Вкусовые качества отличные, с генетическим отсутствием горечи. Комплексно устойчив к болезням. Пригоден для употребления в свежем виде, засолки и консервирования.</t>
  </si>
  <si>
    <t>4601431012554</t>
  </si>
  <si>
    <t>Огурец Теща F1 (парт) 10 шт.(Гав)</t>
  </si>
  <si>
    <t>Скороспелый (45-48 день от всходов до плодоношения) партенокарпический гибрид женского типа цветения. Предназначен для выращивания в открытом грунте и пленочных теплицах. Зеленец длиной 11-13 см, массой 100-120 г, бугорчатый, бурошипый, без горечи. В пазухе листа образуется до 3-4-х завязей.</t>
  </si>
  <si>
    <t>4601431018082</t>
  </si>
  <si>
    <t>Огурец Теща F1 (парт)серия 1+1 20шт.(Гав)</t>
  </si>
  <si>
    <t>Скороспелый (45-48 день от всходов до плодоношения) партенокарпический гибрид женского типа цветения. Предназначен для выращивания в открытом грунте и пленочных теплицах. Посев на рассаду в конце апреля. Высадка в грунт в конце мая – начале июня в фазе 3-4-х настоящих листьев. Посев непосредственно в грунт – в середине-конце мая. Схема посадки 50х50 см. Зеленец длиной 11-13 см, массой 100-120 г, бугорчатый, бурошипый, без горечи. В пазухе листа образуется до 3-4-х завязей. Использование плодов универсальное (в свежем виде, засолка, маринование). Прекрасный, нежный вкус плодов. Гибрид холодостойкий, обладает комплексной устойчивостью к основным заболеваниям огурца. Урожайность одного растения 5,5-6,5 кг. Отличается великолепным вкусом, ароматом, плавной отдачей урожая!</t>
  </si>
  <si>
    <t>4601431124691</t>
  </si>
  <si>
    <t>Огурец Три волны урожая F1 (парт) 10 шт. (Гав)</t>
  </si>
  <si>
    <t>Высокоурожайный гибрид вступает в плодоношение через 40-45 дней от всходов, предназначен для теплиц и открытого грунта. Дает в течение всего летнего сезона хорошие, стабильные урожаи свежих огурчиков, что очень порадует любого дачника. Растение индетерминантное, средневетвистое, женского типа цветения. В узлах закладывает 2-3 (до 5) завязей! Огурчики белошипые, темно-зеленые с небольшими полосками и слабой крапчатостью. Масса 90-100 г. Длина до 10 см. Универсального типа. Ароматные, вкусные, сочные, хрустящие огурчики хороши для салатов и консервирования, для употребления в свежем виде.</t>
  </si>
  <si>
    <t>4601431004818</t>
  </si>
  <si>
    <t>Огурец Углич F1 (парт) 10шт.(Гав)</t>
  </si>
  <si>
    <t>Скороспелый (47-50 дней от всходов до плодоношения) партенокарпический гибрид женского типа цветения. Предназначен для выращивания в защищенном и в открытом грунте под временными пленочными укрытиями.</t>
  </si>
  <si>
    <t>4601431042841</t>
  </si>
  <si>
    <t>Огурец Уральский разносол F1 (пч) 0,5 гр. (Гав)</t>
  </si>
  <si>
    <t>Раннеспелый (40-45 дней от всходов до плодоношения) пчелоопыляемый сорт. Растение длинноплетистое, среднерослое, средневетвистое, преемущественно женского типа цветения. Зеленец овально-цилиндрический, 8-9 см, темно-зеленый с полосами средней длины, крупнобугорчатый с черным опушением, массой 70-80 г.</t>
  </si>
  <si>
    <t>4601431084797</t>
  </si>
  <si>
    <t>Огурец Ухажер F1 (пч) (Гав)</t>
  </si>
  <si>
    <t>Среднепоздний пчелоопыляемый гибрид (от всходов до плодоношения 55-60 дней), предназначен для выращивания в пленочных теплицах. Благодаря высокой насыщенности мужскими цветками, его можно использовать в качестве опылителя при подсадке к пчелоопыляемым гибридам с преимущественно женским типом цветения. Зеленец длиной 18-20 см, массой 180-200 г, крупнобугорчатый, белошипый. Вкусовые качества отличные.</t>
  </si>
  <si>
    <t>4601431043084</t>
  </si>
  <si>
    <t>Огурец Хрустящая грядка F1 (парт) 10шт. (Гав)</t>
  </si>
  <si>
    <t>Скороспелый (46-48 дней от всходов до плодоношения) партенокарпический гибрид с букетным расположением завязей (максимально 10-12 цветков в пазухе!). Предназначен для выращивания в открытом и защищенном грунте. Зеленец длиной 10-11 см, массой 90-100 г, частобугорчатый, белошипый, без горечи. Плоды темно-зеленой окраски со светлыми полосами.</t>
  </si>
  <si>
    <t>4601431014244</t>
  </si>
  <si>
    <t>Огурец Щедрик серия 1+1/20 шт.(Гав)</t>
  </si>
  <si>
    <t>Скороспелый (45-48 дней от всходов до плодоношения) партенокарпический гибрид женского типа цветения и букетного расположения завязей. Предназначен для выращивания в открытом и защищенном грунте.Зеленец длиной 10-12 см, массой 90-110 г, бугорчатый, белошипый, без горечи. Плоды темно-зеленой окраски со светлыми полосами. В пазухе листа образуется по 5-8 завязей. Использование плодов универсальное. Гибрид устойчив к настоящей и ложной мучнистой росам и корневым гнилям.</t>
  </si>
  <si>
    <t>4601431055414</t>
  </si>
  <si>
    <t>Огурец Эколь F1  5шт (Гав) 199701644</t>
  </si>
  <si>
    <t>Среднеранний (43-45 дней от всходов до плодоношения) партенокарпический (не требует опыления) гибрид с интенсивной завязываемостью плодов. Рекомендуется для выращивания в теплицах, пленочных укрытиях и в открытом грунте. Растение мощное, с короткими междоузлиями. Зеленец короткий, цилиндрический, насыщенного зеленого цвета, среднебугорчатый, без горечи, с маленькой семенной камерой. Идеально подходит для сбора пикулей (плоды длиной 4-5 см), засолки и маринования. Гибрид устойчив к кладоспориозу и мучнистой росе, относительно устойчив к вирусу огуречной мозаики.</t>
  </si>
  <si>
    <t>4601431030565</t>
  </si>
  <si>
    <t>Патиссон Летающая тарелка 2 гр (Гав)</t>
  </si>
  <si>
    <t>Раннеспелый (36-50 дней от всходов до начала плодоношения) сорт. Его плоды используют свежими в салатах, тушат, жарят и подают с овощным маринадом, квасят в бочках; маленькие патиссончики, консервированные с пряностями и овощами, – отменная закуска для гурманов.</t>
  </si>
  <si>
    <t>4601431103221</t>
  </si>
  <si>
    <t>Патиссон Наф-наф 1,0 г (Гав)</t>
  </si>
  <si>
    <t>Раннеспелый (38-60 дней от всходов до плодоношения), неприхотливый сорт НАФ-НАФ отличается белой, хрустящей, несладкой мякотью. Плод дисковидный, с гладкой, слабосегментированной, белой поверхностью, массой 280-350 г, без рисунка и сетки. Кора тонкая, деревянистая, на разрезе белая. Патиссон отлично подойдет для тушения, жарки, квашения.  Выращивают прямым посевом в грунт в конце мая-июне. На рассаду высевают в апреле</t>
  </si>
  <si>
    <t>4601431114708</t>
  </si>
  <si>
    <t>Патиссон Ниф-ниф 1г (Гав)</t>
  </si>
  <si>
    <t>Патиссон входит в многочисленное семейство Тыквенные, но по полезным свойствам, химическому составу и вкусовым качествам во многом превосходит кабачок. Необычная форма солнечных плодов при подаче эффектно смотрится на столе в фаршированном виде. При консервировании молодых патиссончиков в банках красиво смотрится вместе с сортами Наф-наф и Нуф-нуф. Урожайный, среднеспелый (60-70 дней от полных всходов до технической спелости),</t>
  </si>
  <si>
    <t>4601431103238</t>
  </si>
  <si>
    <t>Патиссон Нуф-нуф 1,0 г (Гав)</t>
  </si>
  <si>
    <t>Патиссоны привлекают внимание декоративным видом плодов. Как и ближайшие родственники культуры — тыквы и кабачки — не доставляют особых хлопот на протяжении всего сезона выращивания. В них содержится огромное количество сахаров, углеводов, жиров, минеральных солей и пектиновых веществ. Экзотический овощ может стать интересным дополнением для самых разных блюд. При консервировании молодых патиссончиков в банках красиво смотрится вместе с сортами Наф-наф и Ниф-ниф. Сочные плоды фаршируют, жарят, тушат, запекают и маринуют. Раннеспелый сорт Нуф-Нуф будет радовать готовыми плодами через 40-60 дней, окраска которых меняется от зеленой до темно-зеленой, почти черной. Патиссоны дисковидной формы, с зубчатыми краями, диаметром 16-18 см, с повышенным содержанием аскорбиновой кислоты (витамина С).</t>
  </si>
  <si>
    <t>4601431033573</t>
  </si>
  <si>
    <t>Патиссон Пятачок 1,0 г (Гав)</t>
  </si>
  <si>
    <t>Раннеспелый (40-50 дней от всходов до начала плодоношения) сорт. Предназначен для баночного консервирования: небольшие, маринованные с пряными травами, патиссончики имеют небычный аромат, вкусны и хрустящи — отличная закуска для русских застолий.</t>
  </si>
  <si>
    <t>4601431030671</t>
  </si>
  <si>
    <t>Перец Бабье лето кустарниковый 5 шт. (Гав)</t>
  </si>
  <si>
    <t>Рекомендуется для выращивания в теплицах или в комнатных условиях, на балконе или открытой террасе. Сорт ценится за декоративность и теневыносливость.представлен многолетними штамбовыми кустарниками, высотой 25–30 см.</t>
  </si>
  <si>
    <t>4601431091528</t>
  </si>
  <si>
    <t>Перец Белый бык 15 шт. (Гав)</t>
  </si>
  <si>
    <t>Раннеспелый (105-110 дней от всходов до плодоношения) урожайный сорт. Рекомендуется для выращивания в теплицах и открытом грунте. Растение среднеоблиственное, высокорослое (до 170 см), раскидистое. Плод кубовидной формы, ребристый, массой 220-250 г, глянцевый, с отличным вкусом. Стенки толстые (6-8 мм), прочные. Окраска плодов в технической спелости кремовая (желтовато-белая), в биологической — красная. Рекомендуется использовать плоды в технической спелости для фарширования, консервирования, замораживания и употребления в свежем виде.</t>
  </si>
  <si>
    <t>4601431115354</t>
  </si>
  <si>
    <t>Перец Егоза жёлтая, кустарниковый 0,1 гр.  (Гав)</t>
  </si>
  <si>
    <t>Растение декоративное, сомкнутое, очень низкое, с темно-зелеными мелкими листочками и конусовидными плодами, направленными вверх. Подходит для выращивания в открытом грунте и под пленочными укрытиями, в горшках на балконе и в комнатных условиях. Сорт среднеспелый. Плоды короткие, в технической спелости зеленые, в биологической - желтые. Гладкие, массой 10-12 г толщина стенки 1-2 мм, очень острого вкуса. Рекомендуется для использования в домашней кулинарии, консервировании, мариновании.</t>
  </si>
  <si>
    <t>4601431121270</t>
  </si>
  <si>
    <t>Перец Егоза красная, кустарниковый 0,1 гр.  (Гав)</t>
  </si>
  <si>
    <t>Растение декоративное, сомкнутое, очень низкое, с темно-зелеными мелкими листочками и конусовидными плодами, направленными вверх. Подходит для выращивания в открытом грунте и под пленочными укрытиями, в горшках на балконе и в комнатных условиях. Сорт среднеспелый. Плоды короткие, в технической спелости зеленые, в биологической – красные, гладкие, массой 10-12 г, толщина стенки 1-2 мм, очень острого вкуса. Рекомендуется для использования в домашней кулинарии, консервировании, мариновании.</t>
  </si>
  <si>
    <t>4601431002562</t>
  </si>
  <si>
    <t>Перец Какаду F1 15 шт. (Гав)</t>
  </si>
  <si>
    <t>Среднеспелый, высокопродуктивный гибрид, вступает в плодоношение на 110-120 день после появления всходов. Рекомендуется для выращивания в пленочных и остекленных теплицах. Растения высотой до 1,5 м, раскидистые, среднеоблиственные. Плоды массой до 200 г, удлиненно-цилиндрические, слегка изогнутые, ярко-красные. Длина плода достигает 25-30 см! Толщина стенки 6-8 мм. Плоды очень вкусные, сладкие с ароматной мякотью. Используются для приготовления салатов, маринования. Посев в конце февраля - начале марта. Урожайность 2,5-3 кг/раст.</t>
  </si>
  <si>
    <t>4601431056060</t>
  </si>
  <si>
    <t>Перец Какаду жёлтый F1 0.1г (Гав)</t>
  </si>
  <si>
    <t>Среднеранний (120-130 дней от всходов до начала плодоношения). Рекомендуется для выращивания в пленочных и остекленных теплицах. Плоды пониклые, удлиненно-цилиндрические, ярко-желтые, длиной 14-17 см, массой 280-360 г. Толщина стенки 7-8 мм. Очень вкусные, сладкие, с ароматной мякотью. Используются для приготовления салатов, супов, маринования. Посев на рассаду в конце февраля. Пикировка в фазе семядолей. Высадка в грунт в конце мая. Урожайность одного растения 1,8-3,1 кг/раст.</t>
  </si>
  <si>
    <t>4601431108790</t>
  </si>
  <si>
    <t>Перец Какаду красный F1 15 шт. (Гав)</t>
  </si>
  <si>
    <t>Среднеспелый, высокопродуктивный гибрид, вступает в плодоношение на 110-120 день после появления всходов. Рекомендуется для выращивания в пленочных и остекленных теплицах. Растения высотой до 1,5 м, раскидистые, среднеоблиственные. Плоды массой до 200 г, удлиненно-цилиндрические, слегка изогнутые, ярко-красные. Длина плода достигает 25-30см! Толщина стенки 6-8 мм. Плоды очень вкусные, сладкие с ароматной мякотью. Используются для приготовления салатов, маринования. Посев в конце февраля - начале марта. Плотность посадки 3-4 раст./м2. Урожайность 2,5-3 кг/раст.</t>
  </si>
  <si>
    <t>4601431096646</t>
  </si>
  <si>
    <t>Перец Какаду оранжевый F1 10 шт (Гав)</t>
  </si>
  <si>
    <t>Среднеспелый (105-115 дней от всходов до начала плодоношения) высокоурожайный сорт для теплиц и открытого грунта в южных регионах. Растение среднерослое (до 1,2-1,4 м в пленочных теплицах), среднеоблиственное, с укороченными междоузлиями. Плоды от удлиненно-кубовидной до удлиненно-призмовидной формы, 3-4-камерный, массой 260-290 г, длиной 15-17 см, с сочными стенками 5-7 мм. Очень вкусные, сладкие, с ароматной мякотью. Окраска незрелого плода светло-зеленая, зрелого — желтовато-оранжевая, насыщенная, глянцевая. Идеально подходит для свежей нарезки, салатов, маринования.</t>
  </si>
  <si>
    <t>4601431030749</t>
  </si>
  <si>
    <t>Перец Кармен куст. 5 шт. (Гав)</t>
  </si>
  <si>
    <t>Среднеспелый (100-115 дней от всходов до плодоношения) сорт для выращивания в теплице, на балконе, открытой террасе или круглогодично в горшечной культуре в комнатных условиях. Кустарник многолетний, штамбовый, высотой 25-35 см. Куст округлый, раскидистый, в формировке не нуждается. Плоды торчащие, конусовидные с заостренной вершиной, гладкие или слаборебристые. Окраска в технической спелости темно-зеленая, в биологической - темно-красная. Толщина стенки плода до 1,5 мм. Масса плода около 12 г. Вкус острый. Ценность сорта: дружное плодоношение, декоративность, теневыносливость и неприхотливость.</t>
  </si>
  <si>
    <t>4601431061699</t>
  </si>
  <si>
    <t>Перец Красный нос 0,1 гр. (Гав)</t>
  </si>
  <si>
    <t>Невысокий среднеспелый сорт с раскидистым кустом высотой 50-80 см и торчащими во все стороны конусовидными плодами. Очень продуктивный, в хороший год с одно куста можно собрать ведерко довольно крупных, крепких толстостенных (5-6 мм) перчиков массой 70-100 г. Незрелые плоды бело-желтые, зрелые — ярко-красные. Мякоть вкусная,  с приятным ароматом.</t>
  </si>
  <si>
    <t>4601431081154</t>
  </si>
  <si>
    <t>Перец Лисичка желтая 10 шт.(Гав)</t>
  </si>
  <si>
    <t>Очень сладкий и ароматный миниатюрный перец на один укус. Быстро созревает (110-115 дней от всходов до первых сборов) и обильно плодоносит. Невысокий куст удобно выращивать в горшках на окне или балконе. Сорт декоративно смотрится на грядке, подходит для теплиц. Плоды яркие, глянцевые, практически без семян, массой 20-30 г, недозрелые темно-зеленые, при созревании — желтые. Хороши для цельноплодного консервирования.</t>
  </si>
  <si>
    <t>4601431083981</t>
  </si>
  <si>
    <t>Перец Лисичка оранжевая 10 шт. (Гав) 319765755</t>
  </si>
  <si>
    <t>Раннеспелый (100–105 дней от всходов до технической спелости, 130–135 дней — до биологической) гибрид, низкорослый, компактный, с обилием ярких искрящихся плодов. Плоды конусовидной формы, мелкие, массой 25–45 г. Мякоть сладкая, с пикантным пряным ароматом. Окраска незрелых плодов светло-зеленая, зрелых - оранжевая. Урожайность одного растения 0,8–1,0 кг. Рекомендуется для выращивания в пленочных теплицах и как горшечная культура для балконов и подоконников, прекрасно растет на овощной грядке и в бордюре.</t>
  </si>
  <si>
    <t>4601431115392</t>
  </si>
  <si>
    <t>Перец Найс 5 шт. (Гав) 319340854</t>
  </si>
  <si>
    <t>Новый урожайный гибрид сладкого перца для открытого грунта и теплиц среднего срока созревания. Период от всходов до начала плодоношения составляет 120 дней. Растение мощное, с прочным стеблем и хорошо развитой корневой системой, Гибрид хорошо переносит жару, любит плодородную рыхлую почву и регулярный полив, устойчив к вершинной гнили. Плоды сочные, конусовидные, массой 180-200 г и длиной до 15 см, с толстыми стенками, в технической спелости светло-зеленые, при созревании ярко-красные. Хорошо хранятся и транспортируются.</t>
  </si>
  <si>
    <t>4601431001855</t>
  </si>
  <si>
    <t>Перец Париж 15 шт. (Гав)</t>
  </si>
  <si>
    <t>Среднепоздний (130-135 дней от всходов до плодоношения), среднерослый (до 80 см), компактный гибрид. Плоды кубовидной формы, крупные (120-130 г), толстостенные (6-8 мм), с нежной сочной мякотью. Окраска плодов в технической спелости темно-зеленая, в биологической - красная. Рекомендуется для выращивания в пленочных и остекленных теплицах. Посев на рассаду в конце февраля. Пикировка в фазе семядолей. Высадка в грунт в конце мая. Формировка: удаление всех боковых побегов и листьев до первой развилки. Схема посадки 40x60 см. Урожайность одного растения 1,7-2,0 кг.</t>
  </si>
  <si>
    <t>4601431023802</t>
  </si>
  <si>
    <t>Перец Петушок 0,1 гр. (Гав)</t>
  </si>
  <si>
    <t>Раннеспелый (105-120 дней от всходов до технической спелости), дружно созревающий сорт. Плоды с нежным вкусом и сильным ароматом, в кулинарии их используют для приготовления салатов, овощного рагу, фарширования, консервирования, запекания.  Выращивают в пленочных укрытиях и в открытом грунте. Растение полураскидистое, средней высоты (48-60 см). Плоды висячие, конусовидные, слегка овальной формы, гладкие, массой 60-85 г, толщина стенки до 5,5-7 мм.</t>
  </si>
  <si>
    <t>4601431121577</t>
  </si>
  <si>
    <t>Перец Рубиновый бык 0,1 гр.  (Гав)</t>
  </si>
  <si>
    <t>Новый среднепоздний сорт, через 110-125 дней можно будет собирать урожай сладких, сочных перцев. Плод кубовидной формы, 3-4-х камерный, массой 250-320 г, глянцевый, с хрустящей текстурой и толстыми стенками (6-8 мм). Растение смотрится выигрышно по сравнению с другими сортами перцев: сильный, среднерослый куст с яркой изумрудной зеленью, обсыпанный красивыми ароматными плодами, которые при созревании меняют свою окраску от темно-зеленой до ярко-красной. Вкусовые качества отличные.</t>
  </si>
  <si>
    <t>4601431122031</t>
  </si>
  <si>
    <t>Перец Фон Барон белый 0,1 гр. (Гав)</t>
  </si>
  <si>
    <t>Эффектный сорт типа «Ротунда» с отличными вкусовыми качествами. Рекомендуется для выращивания в открытом грунте и пленочных теплицах. Растение компактное, среднеоблиственное, с короткими междоузлиями, до 100 см высотой, начинает обильно плодоносить через 110-120 дней.  Плоды массой 100-130 г, имеют форму маленькой тыквы, с толстыми (7-9 мм) «дольными» стенками. Окраска незрелых перцев желтоватая, зрелых — светло-красная. Плоды используют для красивой сладкой нарезки, порционной подачи салатов или мяса (служит в качестве емкости), фарширования, запекания и консервирования</t>
  </si>
  <si>
    <t>4601431082120</t>
  </si>
  <si>
    <t>Перец Фон Барон Красный F1 0,1 гр. (Гав.)</t>
  </si>
  <si>
    <t>Эффектный сорт типа «Ротунда» с отличными вкусовыми качествами. Рекомендуется для выращивания в открытом грунте и пленочных теплицах. Растение компактное, среднеоблиственное, с короткими междоузлиями, 60-80 см высотой, начинает обильно плодоносить через 110-115 дней.  Плоды массой 180 г, имеют форму маленькой тыквы, с очень толстыми (8-10 мм) «дольными» стенками.</t>
  </si>
  <si>
    <t>4601431119451</t>
  </si>
  <si>
    <t>Перец Хаб красный Супер острый 0,1 г (Гав)</t>
  </si>
  <si>
    <t>Принадлежит к сортотипу Хабанеро, который за особую жгучесть был занесен в книгу рекордов Гиннеса. Обладает особым ароматом и вкусом. Перец созревает через 100-105 дней от полных всходов до технической спелости. Выращивается в пленочных теплицах и открытом грунте (южные регионы). Растение высотой 80-90 см, раскидистое, слабооблиственное. Зрелые плоды светло-красные с тонкой мякотью (1-2 мм), массой 20-30 г, длиной до 4-5 см, диаметром до 2-3 см. Число камер 2-3. Форма плодов — от прямоугольной до удлиненно-конусовидной и цилиндрической, с сильной ребристостью. Степень остроты перца не меняется при выращивании в различных климатических условиях. В кулинарии используют как специю, для различных блюд, салатов, соусов.</t>
  </si>
  <si>
    <t>4601431085152</t>
  </si>
  <si>
    <t>Петрушка Бисер 2 гр + Земляника Золушка 0,03гр. серия Дуэт (Гав)</t>
  </si>
  <si>
    <t>Бисер-Скороспелый (55 – 60 дней) сорт. Розетка листьев полуприподнятая, высотой  39 см. Листовая пластинка средняя, зеленая с тонким черешком. Листья необычайно нежные, с высокой ароматичностью, хорошо отрастают после срезки. Золушка-Среднепоздний, высокоурожайный, универсальный сорт. Куст сильнорослый, компактный. Ягоды среднего размера, массой 8 г, тупо конической формы. Мякоть ярко-красная, плотная. Вкус кисло-сладкий.</t>
  </si>
  <si>
    <t>4601431085145</t>
  </si>
  <si>
    <t>Петрушка Бисер 2 гр + Томат Ля-ля-фа 12 шт. серия Дуэт (Гав)</t>
  </si>
  <si>
    <t>Петрушка Бисер: Скороспелый (55-60 дней) сорт. Розетка листьев полуприподнятая, высотой 39 см. Листовая пластинка средняя, зеленая с тонким черешком. Листья необычайно нежные, с высокой ароматичностью, хорошо отрастают после срезки.
Томат Ля-ля-фа F1: Среднеспелый (100-110 дней), детерминантный гибрид для теплиц и открытого грунта. Плоды плоскоокруглой формы, массой 120-140 г, не растрескиваются. Устойчив к возбудителям вируса табачной мозаики, фузариоза.</t>
  </si>
  <si>
    <t>4601431015722</t>
  </si>
  <si>
    <t>Петрушка Зеленый хрусталь лист. 2,0 гр. (Гав.)</t>
  </si>
  <si>
    <t>Позднеспелый высокоурожайный сорт универсального назначения, с интенсивным нарастанием зеленой массы. Розетка листьев полуприподнятая. Листья крупные, зеленые, с высокой ароматичностью и хорошим отрастанием после срезки. Считается непревзойденным сортом для замораживания. Замороженная зелень используется в зимний и ранне-весенний период в качестве приправы к мясным, рыбным блюдам, соусам и супам, при этом сохраняет ценные свойства и аромат. Рекомендуется также для использования в свежем, сушеном виде, консервирования. Товарная урожайность 2,8-3,2 кг/м2.</t>
  </si>
  <si>
    <t>4601431028098</t>
  </si>
  <si>
    <t>Петрушка листовая Обыкновенная 2 г (Гав.)</t>
  </si>
  <si>
    <t>Скороспелый листовой сорт. Наращивает зеленую массу до первой срезки за 55-60 дней от всходов. Розетка крупная, высотой 35-40 см. Масса одного растения 60-70 г. Листья сильнорассеченные, гладкие, высокоароматичные.</t>
  </si>
  <si>
    <t>4601431047952</t>
  </si>
  <si>
    <t>Петрушка Петра лист. 0,5г (Гав.)</t>
  </si>
  <si>
    <t>Среднеспелая листовая кудрявая (95-110 дней от всходов до начала технической спелости). Розетка листьев крупная, полувертикальная. Лист зеленый, гофрированный, среднего размера, обладает приятным ароматным вкусом. Отличается быстрым и ровным отрастанием после срезки. Высота растения 30-35 см. Посев в грунт проводится в конце апреля – начале мая на глубину 1,5-2,0 см. Перед посевом семена замачивают во влажной ткани в течение 2-3 дней. Для потребления в свежем виде листья петрушки начинают срезать, когда они достигнут высоты 10-12 см. Масса зелени с одного растения 40-60 г. Урожайность зелени 2,8 кг/м2</t>
  </si>
  <si>
    <t>4601431077911</t>
  </si>
  <si>
    <t>Петрушка Потешка смесь 3,0 гр. (Гав.)</t>
  </si>
  <si>
    <t>Смесь популярнейших сортов среднеранней кудрявой, листовой и позднеспелой корневой петрушки. Овощное растение, листья и корни которого используют для приготовления блюд из овощей, рыбы, различных салатов и супов. Петрушка холодостойкое, неприхотливое растение, богата витаминами, провитаминами, содержит много калия, железа. Состав: Петрушка кудрявая Мооскраузе 2, петрушка листовая Глория, Петрушка корневая Сахарная.</t>
  </si>
  <si>
    <t>4601431047969</t>
  </si>
  <si>
    <t>Петрушка Риалто лист. 1,0 гр. (Гав.)</t>
  </si>
  <si>
    <t>Среднеспелый листовой (96-105 дней от всходов до начала технической спелости) сорт. Розетка листьев вертикальная с большим количеством листьев, высотой до 40 см. Лист зеленый, гладкий, среднего размера, треугольной формы, черешок тонкий, средней длины. Отличается хорошим ростом после срезки. Семена высевают с апреля в течение всего сезона. Практикуются подзимние посевы. Зелень нежная, очень ароматичная, подходит для употребления в свежем виде и для переработки. Масса зелени с одного растения 30-50 г. Урожайность зелени 1,8 кг/м</t>
  </si>
  <si>
    <t>4601431033658</t>
  </si>
  <si>
    <t>Петрушка Сударыня лист. 2,0гр. (Гав.)</t>
  </si>
  <si>
    <t>Раннеспелый (60-65 дней от всходов до уборки на зелень) сорт для выращивания в открытом и защищенном грунте. Рекомендуется для использования в свежем и сушеном виде в качестве пряной приправы к различным блюдам: овощным, мясным, рыбным, супам и птице, для консервирования овощей и грибов. Высота розетки 25-35 см, в розетке формируется 20-27 листьев. Листья темно-зеленые, с крупными долями, очень ароматные, хорошо отрастают после срезки. Корни перезимовывают в почве и ранней весной быстро дают молодую зелень. Уборку листьев производят периодически, по мере необходимости. Семена высевают с апреля в течение всего сезона. Практикуются подзимние посевы. Урожайность 1,6-1,8 кг/м2.</t>
  </si>
  <si>
    <t>4601431004283</t>
  </si>
  <si>
    <t>Петрушка Эсмеральда кудрявая 2,0гр. (Гав.)</t>
  </si>
  <si>
    <t>Среднеспелый (65-70 дней от всходов до технической спелости) листовой сорт. В розетке формируется более 30 гофрированных зеленых листьев. Высота розетки более 20 см. Посев в грунт производится в конце апреля - начале мая на глубину 1,5-2,0 см.</t>
  </si>
  <si>
    <t>4601431090057</t>
  </si>
  <si>
    <t>Редис Английский завтрак 2 г (Гав)</t>
  </si>
  <si>
    <t>Сорт редиса английский завтрак раннеспелый, период от всходов до уборки составляет 20-24 дня. Растения имеют компактную розетку листьев средней длины, со слабым опушением. Корнеплод удлиненно-цилиндрической формы, длиной около 8см, с тонким корешком. .</t>
  </si>
  <si>
    <t>4601431111738</t>
  </si>
  <si>
    <t>Редис Бочок с кулачок 2,0 г (Гав)</t>
  </si>
  <si>
    <t>Раннеспелый (22-25 дней от всходов до технической спелости) сорт.  Растение компактное, формирует одновременно розетку листьев и корнеплод. Корнеплоды   ярко-красные округлые с тонкой кожицей, средней массой 20 г. Мякоть белая, плотная, сочная, хрустящая. Вкус пикантный неострый.</t>
  </si>
  <si>
    <t>4601431004580</t>
  </si>
  <si>
    <t>Редис Красный великан 2,0гр. (Гав)</t>
  </si>
  <si>
    <t>Позднеспелый (40-50 дня от всходов до технической спелости) сорт. Корнеплод красный с бело-розовой поперечной бороздчатостью, длинно-цилиндрический, длиной 12-13 см, диаметром 2,5-3,5 см, массой до 300 г. Мякоть белая, сочная слабо-острого вкуса, долго не дрябнет.</t>
  </si>
  <si>
    <t>4601431032927</t>
  </si>
  <si>
    <t>Редис Микс Макс 6 гр. Уд.с. (Гав)</t>
  </si>
  <si>
    <t>Смесь лучших редисов от компании «Гавриш» — неповторимое разнообразие на вашей грядке! Смесь Микс Макс состоит из сортов Кайман, Лиман, 18 дней, Французский завтрак, Сосулька, Моховский и др. Достоинство ее в том, что в ней присутствуют сорта, быстро набирающие массу и дружно отдающие урожай, и сорта с постепенно нарастающим крупным корнеплодом для многократных сборов.</t>
  </si>
  <si>
    <t>4601431023819</t>
  </si>
  <si>
    <t>Редис Сахарок 2гр.(Гав)</t>
  </si>
  <si>
    <t>Скороспелый (20-25 дней от всходов до технической спелости), урожайный сорт для массовых сборов на пучок. Употребляется в свежем виде, в салатах и окрошках. Корнеплоды округлые, ярко-красные, крупные, до 5 см в диаметре, без пустот и грубых волокон, с тонкой кожицей. Мякоть белая, сочная, очень нежная, слабо-острого вкуса, долго не дрябнет. Масса корнеплода 30-40 г. Устойчив к цветушности. Посев в грунт производится в конце апреля – начале мая на глубину 1 см по схеме 5-7x15 см. Отличается небольшой ботвой и быстрым наливом корнеплодов. Урожайность 3,2 - 3,4 кг/м2. Повторные посевы в середине июля позволяют получить еще больший урожай в августе-сентябре.</t>
  </si>
  <si>
    <t>4601431030862</t>
  </si>
  <si>
    <t>Редис Спринтер 2 гр. (Гав)</t>
  </si>
  <si>
    <t>Суперскороспелый (18-21 день от всходов до технической спелости), высокопродуктивный сорт. Розетка листьев полупрямостоячая. Корнеплод округлый, с гладкой ярко-красной кожицей. Мякоть белая, сочная, нежная, слабо-острого вкуса, долго не дрябнет. Масса товарного корнеплода 18-20 г.</t>
  </si>
  <si>
    <t>4601431010536</t>
  </si>
  <si>
    <t>Редька Малиновый шар 2 гр (Гав.)</t>
  </si>
  <si>
    <t>Среднеспелый (55-63 дня от полных всходов до уборки) сорт. Розетка листьев полуприподнятая. Лист среднего размера, серовато-зеленый, широкообратнояйцевидный, край зубчатый. Корнеплод округлой формы, розовый, головка плоская. Мякоть белая, нежная. Масса корнеплода 350-550 г. Вкусовые качества отличные. Урожайность 5,0–5,2 кг/м2.</t>
  </si>
  <si>
    <t>4601431033627</t>
  </si>
  <si>
    <t>Редька Целительница 1,0 гр.(Гав.)</t>
  </si>
  <si>
    <t>Высокоурожайный, среднеспелый зимний сорт. От всходов до технической спелости 72-95 дней. Рекомендован для использования в свежем виде, приготовления острых мясных и вегетарианских салатов, старинного русского блюда — тюри, и конечно же, для лечение редькой с медом по стародавним рецептам. Корнеплод черный, округлый, диаметром 8-11 см, гладкий. Мякоть белая, сочная, приятного острого вкуса. Масса 200-300 г. Урожайность до 7,0 кг/м2. Хранится в течение всей зимы.</t>
  </si>
  <si>
    <t>4601431063372</t>
  </si>
  <si>
    <t>Руккола (Индау) Итальянская 1 гр. (Гав)</t>
  </si>
  <si>
    <t>Зелень руколы  очень приятный горчично-оливковый вкус, который так выгодно оттеняет морепродукты в теплых салатах.Несомненным достоинством этой зеленной культуры является быстрые сроки созревания, всего 20-25 дней проходит от появления всходов до первой уборки урожая.Посев семян производят с апреля по август непосредственно в грунт, на глубину 1 см. . Предназначено для выращивания в открытом грунте</t>
  </si>
  <si>
    <t>4601431026629</t>
  </si>
  <si>
    <t>Руккола (Индау) Покер культурная 1 гр. (Гав)</t>
  </si>
  <si>
    <t>Ценная культура с богатым витаминным запасом в листьях, отличается хорошей урожайностью, выносливостью. Незаменимый ингредиент для спортивного и диетического рациона.</t>
  </si>
  <si>
    <t>4601431063389</t>
  </si>
  <si>
    <t>Руккола (Индау) Римские каникулы 1 гр. (Гав)</t>
  </si>
  <si>
    <t>Эта приятная во всех отношениях зеленная культура стала популярна благодаря итальянской кухне. И действительно рукола обладает очень интересным многогранным вкусом  тут и яркие горчичные нотки, и легкое послевкусие свежих оливок. Прекрасно сочетается с любыми свежими овощами, мясом, морепродуктами, дополняет сэндвичи и бутерброды. Руколу можно сажать очень рано, даже в комнатных условиях на окне она чувствует себя прекрасно и быстро (через 20-25 дней после всходов) дает полноценный урожай зелени. Посев семян производят регулярно с начала сезона по август непосредственно в грунт, на глубину 1 см. Растение неприхотливо. Предназначено для выращивания в открытом грунте, под пленочными укрытиями, в качестве горшечной культуры на подоконнике. Урожайность 1-1,3 кг/м2.</t>
  </si>
  <si>
    <t>4601431064331</t>
  </si>
  <si>
    <t>Руккола (Индау) Сакраменто культурная 1 гр. (Гав)</t>
  </si>
  <si>
    <t>Выращивается в открытом грунте, в качестве горшечной культуры на подоконнике, в контейнерах и ящиках на балконе. Высевать в горшки на окне можно с марта, а в балконные ящики с апреля, регулярно подсевая по мере уборки растений.</t>
  </si>
  <si>
    <t>4601431064218</t>
  </si>
  <si>
    <t>Руккола (Индау) Соренто культурная 1 гр. (Гав)</t>
  </si>
  <si>
    <t>Раннеспелый (22-28 дней от всходов до уборки зелени) сорт. Растение неприхотливое, образует розетку листьев высотой 18-20 см. Лист лировидный, выемчатый по краю. Рукола ценится за превосходный горчично-оливковый вкус и ароматичность.Предназначено для выращивания в открытом грунте, под пленочными укрытиями, в качестве горшечной культуры на подоконнике.</t>
  </si>
  <si>
    <t>4601431019812</t>
  </si>
  <si>
    <t>Салат Абракадабра 0,5 гр. (Гав)</t>
  </si>
  <si>
    <t>Среднеспелый (60 дней от полных всходов до уборки зелени) сорт листового срезочного салата с высоким урожаем зеленой массы. Розетка крупная, до 35-40 см в диаметре, прижатая, с волнистыми краями. Листья зеленые, рассеченные, гладкие, нежные, сочные, маслянистой консистенции, с высоким содержанием микроэлементов и витаминов, отличным вкусом. Масса розетки до 450 г.</t>
  </si>
  <si>
    <t>4601431099913</t>
  </si>
  <si>
    <t>Салат Айс Квин 0,5 гр. (Гав)</t>
  </si>
  <si>
    <t>Среднеспелый (60-65 дней от полных всходов до уборки) урожайный сорт кочанного салата для открытого грунта. Розетка листьев полупрямостоячая, высотой 22 см, диаметром 30 см. Лист среднего размера, обратнояйцевидный, светло-зеленый, слабопузырчатый, волнистый по краю, очень хрустящий, без горечи. Кочан округлый, закрытый, рыхлый, массой 230 г, прекрасного вкуса. Устойчив к цветушности. Выращивают посевом семян в грунт на глубину 1 см или рассадным способом.</t>
  </si>
  <si>
    <t>4601431008557</t>
  </si>
  <si>
    <t>Салат Гейзер 0,5 гр.(Гав)</t>
  </si>
  <si>
    <t>Среднеспелый (64 дня от полных всходов до уборки зелени) сорт. Рекомендуется для выращивания в открытом и защищенном грунте. Посев семян непосредственно в грунт в апреле - мае. На рассаду высевают в марте - апреле, высадка рассады – в мае. Листовой, имеет полуприподнятую розетку крупных зеленых листьев. Лист крупный, длиной 24 см, шириной 23 см, зеленый, веерообразный, с мелкозубчатонадрезанным волнистым краем, с нежной полухрустящей консистенцией листьев, слабопузырчатой поверхностью. Масса розетки около 400 г. Вкус отличный. Устойчив к цветушности, к краевому ожогу листьев. Схема посадки 30x30 см. Урожайность 4,0-5,0 кг/ м2.</t>
  </si>
  <si>
    <t>4601431006577</t>
  </si>
  <si>
    <t>Салат Ералаш 0,5 гр.(Гав)</t>
  </si>
  <si>
    <t>Среднеранний (50-55 дней от полных всходов до уборки урожая) урожайный сорт листового салата универсального назначения. Рекомендуется для выращивания в открытом и защищенном грунте. Посев семян в грунт - в апреле - мае. На рассаду высевают в марте-апреле, высадка рассады – в мае. Розетка средней плотности в виде полусферы, листья зеленые, веерообразные, рассеченные, сильноволнистые по краю, нежной консистенции и прекрасных вкусовых качеств. Схема посадки 25х25 см. Урожайность 3,0-5,0 кг/м2.</t>
  </si>
  <si>
    <t>4601431000315</t>
  </si>
  <si>
    <t>Салат Забава 1 гр.(Гав)</t>
  </si>
  <si>
    <t>Среднеспелый (60-70 дней от всходов до уборки урожая) высокоурожайный листовой сорт салата дуболистного типа с замедленным стеблеванием, отличных вкусовых качеств. Розетка раскидистая, крупная, массой до 400 г, диаметр 39-35 см. Листья рассеченные, слабоволнистые по краю, эффектной антоциановой окраски, длиной около 25 см, нежной консистенции и высоких вкусовых качеств.</t>
  </si>
  <si>
    <t>4601431085176</t>
  </si>
  <si>
    <t>Салат Кантри 0,5 г+Земляника Золушка 0,03 г серия Дуэт Хорошие соседи (Гав)</t>
  </si>
  <si>
    <t>Салат Кантри. Среднеспелый (48-50 дней) сорт листового срезочного салата для открытого грунта. Имеет полувертикальное расположение листьев. Лист крупный, интенсивно окрашенный, красноватый с антоциановым оттенком, с хрустящей консистенцией и слабоморщинистой поверхностью. Розетка высотой 30-33 см, диаметром 25-29 см. Масса одного растения 360 г. Семена высевают с апреля на глубину 0,5-1,0 см. Вкус отличный.
Земляника Золушка. Среднепоздний, высокоурожайный, универсальный сорт. Куст сильнорослый, компактный. Ягоды среднего размера, массой 8 г, тупо конической формы. Мякоть ярко-красная, плотная. Вкус кисло-сладкий. При посеве семена равномерно распределяют по увлажненной ровной поверхности. Всходы появляются в течение 30 дней. В фазе 1-2 настоящих листьев растения пикируют в горшочки. После появления 6 настоящих листьев высаживают в открытый грунт.</t>
  </si>
  <si>
    <t>4601431026674</t>
  </si>
  <si>
    <t>Салат Кредо 0,5 гр. (Гав.)</t>
  </si>
  <si>
    <t>Среднеспелый (60-65 дней от всходов до уборки зелени) сорт. Рекомендуется для выращивания в открытом и защищенном грунте. Посев непосредственно в грунт - в апреле - мае. На рассаду высевают в марте-апреле, высадка рассады - в мае. Листовой салат дуболистного типа. Образует плотную полуприподнятую розетку. Листья темно-зеленого цвета, перисто-рассеченные, нежной консистенции и высоких вкусовых качеств.</t>
  </si>
  <si>
    <t>4601431113213</t>
  </si>
  <si>
    <t>Салат Кучеряш красный 0,5 г (Гав.)</t>
  </si>
  <si>
    <t>Листья салата содержат много витаминов и минералов, прекрасно подходят для различных салатов, блюд, служат украшением стола. Среднеспелый     (48-50 дней) сорт листового салата. Урожайный с полувертикальным расположением листьев. Высота розетки 30-33см, диаметр 25-29 см. Листья крупные, красноватого оттенка, нежные и хрустящие. Масса одного растения 360 г. Вкус салата отличный. После срезки хорошо отрастает.</t>
  </si>
  <si>
    <t>4601431019829</t>
  </si>
  <si>
    <t>Салат Лимпопо, мини 0,5 гр. (Гав.)</t>
  </si>
  <si>
    <t>Раннеспелый сорт.. Кочан массой 380-410 г. Рекомендуется для выращивания в открытом грунте. Устойчив к цветушности.</t>
  </si>
  <si>
    <t>4601431032439</t>
  </si>
  <si>
    <t>Салат Лолло Росса 0,5 г Уд. с.(Гав.)</t>
  </si>
  <si>
    <t>Среднеранний сорт. Предпочитает плодородные, удобренные почвы. Выращивают рассадным и безрассадным способом.Масса растения 330 г.</t>
  </si>
  <si>
    <t>4601431035584</t>
  </si>
  <si>
    <t>Салат Московский парниковый 0,5 гр. (Гав.)</t>
  </si>
  <si>
    <t>Раннеспелый (от всходов до хозяйственной годности 30-40 дней) сорт листового салата. Рекомендуется для выращивания в открытом и защищенном грунте. Розетка полуприподнятая, диаметром 22-27 см. Листья бледно-зеленые, цельнокрайние, обратнояйцевидные, среднепузырчатые, с ровным краем. Консистенция листьев нежная, маслянистая. Вкус хороший. Масса одного растения 70-200 г.</t>
  </si>
  <si>
    <t>4601431019874</t>
  </si>
  <si>
    <t>Салат Скоморох (Гав.)</t>
  </si>
  <si>
    <t>Среднеспелый (начало хозяйственной годности наступает через 66 дней) сорт листового срезочного салата. Рекомендуется для выращивания в открытом грунте. Имеет полувертикальное расположение листьев. Лист крупный, зеленый, с нежной хрустящей консистенцией листьев, маломорщинистой поверхностью. Розетка высотой 24 см, диаметром 30-33 см. Масса одного растения 370 г. Вкус отличный. Посев семян непосредственно в грунт в апреле - мае. На рассаду высевают в марте - апреле, высадка рассады – в мае. Схема посадки 30x30 см. Для формирования мощной розетки требуются регулярные и умеренные поливы, не допускающие как застоя воды, так и пересушивания почвы. Урожайность 4,4 - 4,8 кг/м2</t>
  </si>
  <si>
    <t>4601431019805</t>
  </si>
  <si>
    <t>Салат Скороход, мини 0,5 гр. (Гав.)</t>
  </si>
  <si>
    <t>Среднеспелый (начало хозяйственной годности наступает через 48-50 дней) сорт листового срезочного салата. Рекомендуется для выращивания в открытом грунте. Имеет полувертикальное расположение листьев. Лист крупный, интенсивно окрашенный, красноватый с антоциановым оттенком, с нежной хрустящей консистенцией и слабоморщинистой поверхностью. Розетка высотой 30-33 см, диаметром 25-29 см. Масса одного растения 360 г. Вкус отличный.</t>
  </si>
  <si>
    <t>4601431064805</t>
  </si>
  <si>
    <t>Салат Стрелец 0,5 г (Гав.)</t>
  </si>
  <si>
    <t>Позднеспелый (начало хозяйственной годности наступает через 70 дней) сорт листового салата. Рекомендуется для выращивания в открытом грунте и пленочных теплицах. Розетка листьев прямостоячая образует объемный кустик высотой и диаметром около 30 см. Лист среднего размера, вытянутый, пузырчатый, слабоволнистый по краю, с антоциановой окраской, нежной маслянистой консистенцией. Вкус отличный. Используют в салатах и для украшения блюд. Масса одного растения до 390 г.</t>
  </si>
  <si>
    <t>4601431019836</t>
  </si>
  <si>
    <t>Салат Яхонт, мини (Гав.)</t>
  </si>
  <si>
    <t>Среднеспелый (57 дней от всходов до образования кочана) сорт кочанного типа. Ценится за оптимальное соотношение витаминов, минеральных солей и микроэлементов. Розетка полуприподнятая, диаметром 25 см. Листья интенсивно окрашенные, красноватые, с антоциановой окраской, поверхность слабоморщинистая. Консистенция листьев плотная, маслянистая. Кочан массой 410 г, компактный, плоскоокруглый, средней плотности, размером 14х16 см. Вкус отличный. Рекомендуется для выращивания в открытом грунте. Устойчив к цветушности. Урожайность 4,1-4,3 кг/м2. Используют для приготовления овощных закусок, диетических салатов, оформления разнообразных блюд.</t>
  </si>
  <si>
    <t>4601431061279</t>
  </si>
  <si>
    <t>Свекла Игл 1гр.(Саката) (Гав)</t>
  </si>
  <si>
    <t>Среднеспелый (90-100 дней от всходов до технической спелости) урожайный гибрид столовой свеклы с красивыми ровными корнеплодами без колец.</t>
  </si>
  <si>
    <t>4601431061286</t>
  </si>
  <si>
    <t>Свекла Кардиал 1гр.(Гав)</t>
  </si>
  <si>
    <t>Раннеспелый гибрид свеклы (110 дней). Формирует круглые, правильной формы, одинаковые, красивые корнеплоды с гладкой кожицей и небольшой розеткой листьев. Окраска плода интенсивно тёмно-красного цвета, без колец. Масса корнеплода 220-350 грамм.</t>
  </si>
  <si>
    <t>4601431061293</t>
  </si>
  <si>
    <t>Свекла Кестрел 1 гр. (Саката) (Гав)</t>
  </si>
  <si>
    <t>Среднеспелый (115-120 дней от всходов до технической спелости) гибрид столовой свеклы. Рекомендуется для выращивания на хранение. Розетка листьев прямостоячая, прочная, не обрывается при выдергивании. Корнеплод округлый, гладкий, массой 200-350 г. Мякоть темно-красная, практически без колец, в вареном виде нежная, вкусная, насыщенного цвета. Рекомендуется для приготовления витаминных соков, всех видов кулинарной переработки, консервирования и замораживания.</t>
  </si>
  <si>
    <t>4601431013032</t>
  </si>
  <si>
    <t>Свекла Кубанская Борщевая 3 гр. (Гав)</t>
  </si>
  <si>
    <t>Среднепоздний (87-160 дней от полных всходов до технической спелости) сорт. Корнеплод от округлого до овального, основание несколько удлиненное, с утолщенным осевым корешком. Масса корнеплода 300-500 г. Головка крупная, кожица ярко-красная. Корнеплоды на 2/3 – 3/4 погружены в почву, хорошо выдергиваются. Мякоть фиолетово-красная, вкусная, с кольцами. Рекомендуется для продолжительного хранения. Сорт ценится за высокую продуктивность и засухоустойчивость. Урожайность 4,7-7,9 кг/м2. Посев в открытый грунт производят в конце апреля – начале мая по схеме 10-15х30 см на глубину 2,0- 2,5 см</t>
  </si>
  <si>
    <t>4601431007345</t>
  </si>
  <si>
    <t>Свекла Либеро 1гр.(Гав)</t>
  </si>
  <si>
    <t>Самый ранний сорт из ассортимента столовой свеклы фирмы Райк Цваан, обладает высоким потенциалом урожайности, дает однородные корнеплоды. Особенностью сорта является чрезвычайная скороспелость- уборку на пучки начинают через 80 дней после посева, что в сочетании с идеально округлой формой, очень тонким корешком и гладкой кожицей делает этот сорт очень привлекательным для производителей ранней продукции. Корнеплод округлый, красный, мякоть темно-красная, кольца почти отсутствуют, головка слабоопробковевшая. Масса корнеплода 125-225 г. Среднеустойчив к стрелкованию. Вкусовые качества хорошие. Сорт обладает очень интенсивной внешней и внутренней окраской корнеплода. Урожайность 6,1 кг/м2.</t>
  </si>
  <si>
    <t>4601431090088</t>
  </si>
  <si>
    <t>Свекла Марфуша 3 гр. (Гав)</t>
  </si>
  <si>
    <t>Среднеспелый (105-120 дней) одноростковый сорт. Семена большинства сортов свеклы являются многоростковыми. Это значит, что из них вырастает больше одного растения. Одноростковость — положительная характеристика, сводящая к минимуму прореживание и упрощающее прополку культуры. Корнеплоды красные, круглые, массой 200-300 г, диаметром 8-10 см, не растрескиваются. Мякоть насыщенного бордового цвета, сладковатого вкуса, для кулинарии, маринования, приготовления свежих соков.</t>
  </si>
  <si>
    <t>4601431048065</t>
  </si>
  <si>
    <t>Свекла Ронда 1гр. (Гав)</t>
  </si>
  <si>
    <t>Среднеспелый (115-120 дней от всходов до технической спелости) продуктивный гибрид. Розетка листьев мощная, полупрямостоячая. Корнеплоды округлой формы, с гладкой нежной кожицей, темно-бордового цвета, крупные, массой 250-350 г. Мякоть темно-красная, без кольцеватости, отличного вкуса. Корнеплоды прекрасно хранятся до следующего урожая.</t>
  </si>
  <si>
    <t>4601431081086</t>
  </si>
  <si>
    <t>Свекла Рубиновая королева 3гр. (Гав)</t>
  </si>
  <si>
    <t>Раннеспелая (период от полных всходов до начала технической спелости 85-100 дней) сорт. Корнеплоды округлой формы, выравненные, с тонкой кожицей, гладкие, массой 120-150 г. Мякоть сочная, сладкая, бордового цвета, без колец.</t>
  </si>
  <si>
    <t>4601431095397</t>
  </si>
  <si>
    <t>Свекла Сахарная РМС 121 3гр. (Гав)</t>
  </si>
  <si>
    <t>Сахарная свекла богата сахарозой, микроэлементами и витаминами. Корнеплод удлиненный, массой 0,3–0,6 кг, с белой мякотью. Розетка листьев светло-зеленая. Корнеплод используют в кулинарии (цукаты), в качестве корма для животных. Сахарная свекла любит тепло, свет и влагу. Оптимальная температура для прорастания семян 10–12ºС.</t>
  </si>
  <si>
    <t>4601431064232</t>
  </si>
  <si>
    <t>Свекла Таунус 1 гр. (Гав)</t>
  </si>
  <si>
    <t>Среднеспелый (120-125 дней от всходов до технической спелости) гибрид. Розетка листьев полупрямостоячая. Корнеплод цилиндрический, с гладкой поверхностью, массой 200-380 г. Мякоть насыщенно темно-красная, сочная, без кольцеватости. Вкусовые качества отличные. Рекомендован для употребления в свежем виде, переработки и хранения. Урожайность 3,6-6,3 кг/м2. Посев в грунт производят в конце апреля – начале мая по схеме 10х25-30 см на глубину 2-4 см.</t>
  </si>
  <si>
    <t>4601431033634</t>
  </si>
  <si>
    <t>Свекла Фекла 3гр.(Гав)</t>
  </si>
  <si>
    <t>Среднеранний (62-116 дней от всходов до технической спелости) сорт. Корнеплод округлый, с небольшой головкой, поверхность со слабой шероховатостью, массой 230-500 г. Мякоть интенсивно-темно-красная.</t>
  </si>
  <si>
    <t>4601431081512</t>
  </si>
  <si>
    <t>Табак курительный Бамбук 0,01 гр. (Гав.)</t>
  </si>
  <si>
    <t>Среднеспелый (от высадки до созревания листьев последней ломки 105 дней) сорт. Растение овальной формы, с эллиптическими, слегка заостренными листьями желто-зеленого цвета. На растении 25-27 листьев. Сорт устойчив к корневым гнилям, табачной мозаике, пероноспорозу.</t>
  </si>
  <si>
    <t>4601431055360</t>
  </si>
  <si>
    <t>Табак курительный Самсун 85 0,01 гр. (Гав.)</t>
  </si>
  <si>
    <t>Среднеспелый сорт со средним содержанием никотина (до 2,1%) и высокими курительными свойствами (по показателям крепость, аромат, вкус и сладость — 38,4 балла), растение быстро формирует большое количество крупных зеленых листьев высокого качества</t>
  </si>
  <si>
    <t>4601431004689</t>
  </si>
  <si>
    <t>Тимьян ползучий (чабрец) Медок 0,05 гр. (Гав.)</t>
  </si>
  <si>
    <t>Многолетнее пряное и лекарственное растение. Содержит эфирное масло, минеральные соли (Mg, K, Ca), аскорбиновую кислоту, флавоноиды. Вегетационный период от полных всходов до последнего сбора 150 дней. Имеет стелющиеся цветущие, хорошо облиственные побеги. Листья мелкие, продолговато-яйцевидные, сверху темно-зеленые, снизу – серовато-фиолетовые. Цветки светло-розовые, собраны на концах ветвей в головчатые соцветия. Урожайность зеленой массы с одного растения 50 г. Предпочитает легкие супесчаные почвы. Листья и побеги используют в свежем и сушеном виде в качестве пряной зелени к различным блюдам, соусам, для засолки овощей, приготовления напитков. Обладает сильным антисептическим и дезинфицирующим свойствами. Входит в состав грудных сборов, используется в народной медицине для укрепления памяти.</t>
  </si>
  <si>
    <t>4601431028258</t>
  </si>
  <si>
    <t>Томат Агата 0,05 гр. Уд.с. (Гав)</t>
  </si>
  <si>
    <t>Раннеспелый (созревание плодов наступает на 98-113-й день после полных всходов) сорт, рекомендован для открытого грунта. Растение низкорослое, высотой 33-45 см. Не требует формировки. Плоды плоскоокруглой формы, гладкие, красные, массой 80-100 г. Вкус свежих плодов великолепный. Прекрасно подходят для приготовления салатов. Урожайность 5,8-6,7 кг/м2. Ценность сорта: высокая урожайность, дружная отдача урожая.</t>
  </si>
  <si>
    <t>4601431030633</t>
  </si>
  <si>
    <t>Томат Бабушкин подарок F1 12шт. (Гав)</t>
  </si>
  <si>
    <t>Среднепоздний (120-125 дней от всходов до плодоношения) высокорослый гибрид для пленочных и остекленных теплиц. Плоды обладают великолепным вкусом и ароматом, сочной и сладкой мякотью, рекомендуются для приготовления свежих летних салатов. Плоды плоскоокруглой формы, слегка ребристые, массой 180-220 г. Схема посадки 40х60 см. Гибрид устойчив к возбудителям вируса табачной мозаики, кладоспориоза, фузариоза. Урожайность одного растения 4,5-5,0 кг.</t>
  </si>
  <si>
    <t>4601431024854</t>
  </si>
  <si>
    <t>Томат Банан Оранжевый 0,05 г Уд.с. (Гав)</t>
  </si>
  <si>
    <t>Скороспелый (90-95 дней от всходов до плодоношения) низкорослый (до 70 см) сорт, рекомендован для открытого груФта и временных пленочных укрытий. После высадки в открытый грунт растения, формируют в 2-3 стебля. Плоды удлиненной формы (длиной 10-12 см), массой 100-110 г, салатного назначения и для цельноплодного консервирования. Урожайность одного растения 2,5-3,0 кг. Ценность сорта: дружная отдача урожая, хорошая лежкость, великолепный вкус.</t>
  </si>
  <si>
    <t>4601431026544</t>
  </si>
  <si>
    <t>Томат Бетта 0,05 гр (Гав)</t>
  </si>
  <si>
    <t>Ультраскороспелый низкорослый сорт томата, предназначен для выращивания в открытом грунте. Первые плоды готовы к сбору уже через 85 дней после появления всходов, благодаря чему они не поражаются фитофторой. Растения низкорослые (40—50 см), штамбовые, не требующие подвязывания и пасынкования. Плоды с сочной мякотью, массой 50—60 г.</t>
  </si>
  <si>
    <t>4601431000124</t>
  </si>
  <si>
    <t>Томат Благовест F1 12 шт (Гав)</t>
  </si>
  <si>
    <t>Раннеспелый (101-105 дней от всходов до плодоношения) среднерослый (150-180 см) гибрид, рекомендован для остекленных и пленочных теплиц. Посев на рассаду в конце марта – начале апреля. Пикировка рассады в фазе первого настоящего листа. Высадка рассады в теплицы в начале-середине мая в возрасте 40 дней (если апрель теплый, то высадка рассады возможна в конце апреля). Формируют в 1-2 стебля. Плоды округлой формы, массой 100-110 г. Прекрасно подходят для приготовления свежих салатов и цельноплодного консервирования. Схема посадки 40х60 см. Гибрид устойчив к возбудителям вируса табачной мозаики, кладоспориоза, фузариоза. Урожайность одного растения 5,0-5,5 кг.</t>
  </si>
  <si>
    <t>4601431014121</t>
  </si>
  <si>
    <t>Томат Благовест серия 1+1  25шт (Гав)</t>
  </si>
  <si>
    <t>Раннеспелый (101-105 дней от всходов до плодоношения) среднерослый (150-180 см) гибрид, рекомендован для остекленных и пленочных теплиц. Плоды округлой формы, массой 100-110 г. Прекрасно подходят для приготовления свежих салатов и цельноплодного консервирования. Урожайность одного растения 5,0-5,5 кг.</t>
  </si>
  <si>
    <t>4601431055520</t>
  </si>
  <si>
    <t>Томат Большая мамочка 0,05 гр. (Гав)</t>
  </si>
  <si>
    <t>Очень ранний детерминантный (с ограниченным ростом) низкорослый сорт. Сочные красные сердцевидные плоды, массой 220-340 г созревают на растении уже через 85-95 дней. Мякоть с насыщенным сладким вкусом, высоким содержанием полезных веществ и ликопина.</t>
  </si>
  <si>
    <t>4601431081048</t>
  </si>
  <si>
    <t>Томат Большая мамочка 1+1/0,25 гр. (Гав)</t>
  </si>
  <si>
    <t>4601431000797</t>
  </si>
  <si>
    <t>Томат Бони ММ 0,05 гр. (Гав)</t>
  </si>
  <si>
    <t>Ультраскороспелый (80-85 дней от всходов до плодоношения) низкорослый (40-50 см) сорт, рекомендован для выращивания в открытом грунте. Растение штамбовое, не требует подвязки и пасынкования. Посев на рассаду в начале-середине апреля. Пикировка в фазе первого настоящего листа. Высадка рассады в грунт в мае в возрасте 30-35 дней. Сорт можно выращивать прямым посевом семян в начале мая под пленочные укрытия, при этом пикируют в открытый грунт в начале июня. Плоды плоскоокруглой формы, массой 60-70 г, преимущественно салатного назначения. Схема посадки 30х50 см. Вследствие высокой скороспелости не поражается фитофторой, отдает весь урожай за 2 недели. Начало плодоношения – конец июня. Урожайность одного растения 2,0 кг. Семена можно высевать прямо в грунт в апреле под двойные пленочные укрытия.</t>
  </si>
  <si>
    <t>4601431015388</t>
  </si>
  <si>
    <t>Томат Бони ММ серия 1+1  0,1 гр. (Гав)</t>
  </si>
  <si>
    <t>Ультраскороспелый (80-85 дней от всходов до плодоношения) низкорослый (40-50 см) сорт, рекомендован для выращивания в открытом грунте. Растение штамбовое, не требует подвязки и пасынкования. Посев на рассаду в начале-середине апреля. Пикировка в фазе первого настоящего листа. Высадка рассады в грунт в мае в возрасте 30-35 дней. Сорт можно выращивать прямым посевом семян в начале мая под пленочные укрытия, при этом пикируют в открытый грунт в начале июня. Плоды плоскоокруглой формы, массой 60-70 г, преимущественно салатного назначения.</t>
  </si>
  <si>
    <t>4601431000445</t>
  </si>
  <si>
    <t>Томат Бонсай 0,05 гр. (Гав)</t>
  </si>
  <si>
    <t>Ультраскороспелый (85-90 дней от всходов до плодоношения) карликовый (20-30 см) сорт, рекомендован для выращивания на балконе, подоконнике, в подвесных вазонах. Растение штамбовое, не требует подвязки и пасынкования. Плоды округлой формы, массой 20-25 г. Посев на рассаду — в начале-середине апреля. Пикировка — в фазе первого настоящего листа. Посадка в грунт — в начале мая в возрасте 30-35 дней. Растения высаживают в цветочные горшки, объемом почвы 1,5-2,0 литра. Сорт отличается высокой декоративностью, привлекательным и оригинальным видом. Начало плодоношения – конец июня. Урожайность одного растения до 0,5 кг.</t>
  </si>
  <si>
    <t>4601431038547</t>
  </si>
  <si>
    <t>Томат Виагра 12 шт. шоколадный! (Гав.)</t>
  </si>
  <si>
    <t>Среднеспелый (созревание наступает на 112 день после полных всходов) высокорослый (индетерминантный) сорт для выращивания под пленочными укрытиями. Плоды плоскоокруглые, слаборебристые, бурого цвета, с плотной кожицей, массой 110 г. Сладкая мякоть имеет насыщенный вкус и сильный аромат.</t>
  </si>
  <si>
    <t>4601431079250</t>
  </si>
  <si>
    <t>Томат Вишенка черная 0,05 г (Гав)</t>
  </si>
  <si>
    <t>Раннеспелый (112 дней от всходов до плодоношения) высокорослый сорт для выращивания в пленочных теплицах. Растение индетерминантное (с неограниченным ростом), высотой более 2 м. Плоды округлые, бурого цвета, массой 18 г, с десертным вкусом. Для приготовления ярких свежих салатов, аппетитных закусок и разноцветных консервированных ассорти. Урожайность 3,5 кг/м2. Посев на рассаду - в конце марта - начале апреля. Пикировка - в фазе первого настоящего листа. Высадка рассады - в начале середине мая (если апрель теплый, то высадка рассады возможна в конце апреля). Формируют в один стебель, удаляя все «пасынки». При образовании 5-го соцветия начинают удалять нижние листья по 2-3 в неделю. После образования 8-10 кистей побег прищипывают, оставляя 2 листа над последней кистью. Схема посадки: 40х60 см.</t>
  </si>
  <si>
    <t>4601431115422</t>
  </si>
  <si>
    <t>Томат Генерал 5 шт. Саката (Гав)</t>
  </si>
  <si>
    <t>Новый ранний, урожайный гибрид томата от компании Sakata. Растение детерминантное, компактное, с мощным стеблем и большим количеством листьев. Плоды ярко-красные, плоскоокруглые, массой 110-150 г, не растрескиваются, хорошо хранятся и транспортируются. Мякоть ароматная, плотная, сочная с небольшой кислинкой. В период плодоношения растения подвязывают к опоре, чтобы избежать перелома стебля. Гибрид не требует особого ухода и дает высокий урожай как в теплицах, так и в открытом грунте, устойчив к заболеваниям, хорошо хранится и транспортируется. Используют для приготовления салатов, закусок, первых и вторых блюд, а также маринуют, солят, добавляют в овощные ассорти.</t>
  </si>
  <si>
    <t>4601431073999</t>
  </si>
  <si>
    <t>Томат Горшечный желтый 0,05 г (Гав)</t>
  </si>
  <si>
    <t>Ранний (83-93 дня от всходов до плодоношения) сорт для выращивания в горшечной культуре на окне, балконе или уплотненных посадках в открытом грунте. Растение детерминантное (высотой 30-40 см), очень декоративное, с простыми кистями вишневидных гладких плодов, массой 15-30 г, 2-3-камерные, незрелые — светло-зеленые, зрелые — желтые, медового вкуса</t>
  </si>
  <si>
    <t>4601431055186</t>
  </si>
  <si>
    <t>Томат Горшечный оранжевый 0,05 г (Гав)</t>
  </si>
  <si>
    <t>Раннеспелый (80-90 дней от всходов до плодоношения) супердетерминантный сорт (до 25 см). Рекомендуется для выращивания в открытом грунте, под временным укрытием и в горшечной культуре. Длина листа 21 см, соцветия простые и промежуточные (однократно разветвленные), компактные, длиной 12-15 см. Плоды 2-3 камерные, округлой формы, слегка вытянутые, оранжевой окраски, массой 30-75 г. Идеальны для засолки и цельноплодного консервирования, используются для приготовления свежих салатов.</t>
  </si>
  <si>
    <t>4601431043923</t>
  </si>
  <si>
    <t>Томат Детская сладость 0,05 гр. (Гав)</t>
  </si>
  <si>
    <t>Суперранний (80-85 дней от всходов до уборки урожая) низкорослый сорт для выращивания в открытом грунте и под временными пленочными укрытиями. Подходит для безрассадного выращивания в регионах с благоприятным климатом. Растение детерминантное, высотой 50-60 см. Плоды яйцевидной формы, гладкие, ярко-красные, прочные, массой 100-120 г. Идеальны для цельноплодного консервирования и переработки на томатопродукты, хороши для приготовления салатов. Сорт устойчив к фузариозу, вертициллезу и вершинной гнили плодов. Урожайность 5,5-6,0 кг/м2.</t>
  </si>
  <si>
    <t>4601431097575</t>
  </si>
  <si>
    <t>Томат Детская сладость золотая 0,05 гр. (Гав)</t>
  </si>
  <si>
    <t>Раннеспелый сорт с дружным плодоношением для открытого грунта и временных пленочных укрытий. Растение детерминантное, низкорослое, высотой 30–40 см, не требует пасынкования и подвязки. Подходит для выращивания в кашпо, горшках и контейнерах, на балконе и подоконнике. Плоскоокруглые плоды массой 80–90 г используются для консервирования и употребления в свежем виде. Яркие желтые томаты очень любят дети за сладкий вкус и привлекательный вид. Сорт фитофторой не поражается.</t>
  </si>
  <si>
    <t>4601431019010</t>
  </si>
  <si>
    <t>Томат Дятел 0,3 гр. (Гав)</t>
  </si>
  <si>
    <t>Урожайный индетерминантный сорт созревает через 100-105 дней от всходов, рекомендован для выращивания в открытом грунте (южные регионы), пленочных и остекленных теплицах с подвязкой к шпалерам. Плоды цилиндрические, массой 30–50 г, с плотной кожицей и мякотью. Окраска незрелого плода светло-зеленая, зрелого — красная. Вкус свежих плодов приятный томатный с небольшой кислинкой. Прекрасно подходят для цельноплодного консервирования, транспортировки.</t>
  </si>
  <si>
    <t>4601431031814</t>
  </si>
  <si>
    <t>Томат Евпатор  серия 1+1 25 шт  (Гав)</t>
  </si>
  <si>
    <t>Среднеранний (106-110 дней от всходов до плодоношения) индетерминантный (с неограниченным ростом) гибрид, рекомендован для пленочных и зимних теплиц. Плоды плоскоокруглой формы, с идеально ровной поверхностью, массой 130-150 г. Предназначены для консервирования и великолепно подходят для приготовления свежих салатов. Гибрид устойчив к возбудителям вируса табачной мозаики, кладоспориоза, фузариоза, а также генетически устойчив к растрескиванию и вершинной гнили плодов. Урожайность одного растения 4,5-5,5 кг.</t>
  </si>
  <si>
    <t>4601431001145</t>
  </si>
  <si>
    <t>Томат Евпатор F1 12шт  (Гав)</t>
  </si>
  <si>
    <t>Среднеранний (106-110 дней от всходов до плодоношения) индетерминантный гибрид, рекомендован для пленочных и зимних теплиц. Плоды плоскоокруглой формы, с идеально ровной поверхностью, массой 130-150 г. Предназначены для консервирования и великолепно подходят для приготовления свежих салатов.</t>
  </si>
  <si>
    <t>4601431001121</t>
  </si>
  <si>
    <t>Томат Жираф 0,1 г (Гав)</t>
  </si>
  <si>
    <t>Позднеспелый (130-140 дней от всходов до плодоношения) индетерминантный (с неограниченным ростом) сорт, рекомендован для пленочных теплиц и открытого грунта. Посев на рассаду в середине-конце марта. Пикировка в фазе первого настоящего листа. Высадка рассады в теплицы в начале-середине мая в возрасте 50-55 дней. Обязательна подвязка растений через несколько дней после посадки. Формируют в один стебель, удаляя все «пасынки». Плоды округлой формы, массой 120-130 г. Особенностью сорта является то, что плоды не краснеют, оставаясь желтыми и способны храниться до полугода! Прекрасно подходят для засолки и маринования. Схема посадки 40х60 см. Сорт устойчив к возбудителям вируса табачной мозаики, кладоспориоза. Урожайность одного растения 4,5 кг.</t>
  </si>
  <si>
    <t>4601431000933</t>
  </si>
  <si>
    <t>Томат Интуиция F1 12шт.(Гав)</t>
  </si>
  <si>
    <t>Среднеспелый (110-115 дней от всходов до плодоношения) индетерминантный гибрид, рекомендован для пленочных и остекленных теплиц. Относится к группе кистевых томатов. Плоды округлой формы, гладкие, прочно прикрепляются к плодоножке и не осыпаются после созревания, массой 100-110 г.</t>
  </si>
  <si>
    <t>4601431040151</t>
  </si>
  <si>
    <t>Томат Интуиция серия 1+1 25 шт. (Гав)</t>
  </si>
  <si>
    <t>4601431119734</t>
  </si>
  <si>
    <t>Томат Кабан 0,05 г полосатый (Гав)</t>
  </si>
  <si>
    <t>Необыкновенно красивый томат, как игрушечный, с декоративными полосками оранжевых, красных и темно-зеленых оттенков. Сорт салатный с крупными мясистыми плодами порадует каждого любителя. Созревает через 110-115 дней от полных всходов, рекомендован для выращивания в теплицах и под временными пленочными укрытиями. Растение индетерминантное, высотой 1,4-1,6 м. Плод плоскоокруглой формы, средней плотности, сильно-ребристый. Окраска незрелого плода зелёная, в полоску. Масса плода – 120–200 (до 350!) г. Вкус отличный. Томат добавит ярких ноток в свежие салаты, подойдет для выработки сока. Урожайность товарных плодов 5,4-6,2 кг/кв.м.</t>
  </si>
  <si>
    <t>4601431113282</t>
  </si>
  <si>
    <t>Томат Каскад красный 0,05 гр. (Гав)</t>
  </si>
  <si>
    <t>Раннеспелый очень урожайный сорт, от всходов до созревания 70-90 дней. Растение высокорослое с длительным периодом плодоношения для выращивания в пленочных укрытиях и открытом грунте с подвязкой к кольям. Плоды средней плотности, сливовидной формы, при созревании становятся красными, в кисти содержится от 10 и более штук массой 20-25 г.</t>
  </si>
  <si>
    <t>4601431103740</t>
  </si>
  <si>
    <t>Томат Каскад рубиновый 0,05 гр. (Гав)</t>
  </si>
  <si>
    <t>Среднеспелый очень урожайный сорт. Растение среднерослое с длительным периодом плодоношения для выращивания под временными пленочными укрытиями и в открытом грунте (с подвязкой к кольям). Округлые плоды красного цвета, массой до 20 г, в разветвленной кисти содержится от 20 и более штук.</t>
  </si>
  <si>
    <t>4601431001831</t>
  </si>
  <si>
    <t>Томат Киржач 0,1 гр. (Гав.)</t>
  </si>
  <si>
    <t>Один из самых ранних крупноплодных высокорослых гибридов (110-115 дней от всходов до плодоношения), индетерминантный (с неограниченным ростом) гибрид, рекомендован для пленочных и остекленных теплиц. Посев на рассаду в конце февраля – начале марта. Пикировка рассады в фазе первого настоящего листа. В период выращивания рассады необходима досветка. Высадка рассады в теплицы в конце апреля в возрасте 50-55 дней. Обязательна подвязка растений через несколько дней после посадки. Первое соцветие закладывается над 9-11-м листом, далее они следуют через три листа. Формируют в один стебель, удаляя все «пасынки» и нижние листья, а так же прищипывают точку роста в конце вегетации. Плоды плоскоокруглой формы, гладкие, средней массой 160-180 г, лучший результат до 500 г. Вкус отличный, плоды великолепно подходят для приготовления свежих салатов.</t>
  </si>
  <si>
    <t>4601431055476</t>
  </si>
  <si>
    <t>Томат Клубничный десерт 0,05 г (Гав)</t>
  </si>
  <si>
    <t>Этот среднеспелый, высокорослый сорт обязательное приобретение для ценителей вкуса любимых стародавних сортов. Когда мясистые сочные плоды, с маленькими семенными камерами, толстыми сахарными стенками и тонкой нежной кожицей начинали резать в салат, а аромат свежего томата созывал домашних к ужину. Кроме того в сорте нет недостатков, свойственных вкусным томатам. Он не так требователен к агрофону, довольно неприхотлив, устойчив к основным заболеваниям и отличается высокой урожайностью (до 10-12 кг/раст.). Плоды крупные, многокамерные, темно-красные, массой до 300 г. Для выращивания в теплицах. Посев на рассаду — в конце марта. Пикировка — в фазе первого настоящего листа. Высадка рассады в теплицы — в конце апреля — начале мая. Обязательна подвязка растений через несколько дней после высадки.</t>
  </si>
  <si>
    <t>4601431043930</t>
  </si>
  <si>
    <t>Томат Комнатный сюрприз 0,05 гр. (Гав)</t>
  </si>
  <si>
    <t>Суперранний (80-90 дней от всходов до плодоношения) сорт для выращивания в комнатной культуре, на балконе и для уплотненных посадок в открытом грунте. Растение детерминантное, низкорослое, высотой до 50 см. Плоды сливовидные, красные, вкусные и ароматные, массой до 60 г, для употребления в свежем виде и цельноплодного консервирования.</t>
  </si>
  <si>
    <t>4601431000834</t>
  </si>
  <si>
    <t>Томат Кострома 12 шт.(Гав)</t>
  </si>
  <si>
    <t>Среднеранний (106-110 дней от всходов до плодоношения) среднерослый (1,5-2,0 м) гибрид, рекомендован для пленочных и остекленных теплиц. Посев на рассаду в марте. Пикировка рассады в фазе первого настоящего листа. Высадка рассады в теплицы в начале – середине мая в возрасте 40 дней (если апрель теплый, то высадка рассады возможна в конце апреля). Формируют в один стебель за счет перевода точки роста на боковой побег (пасынок). Плоды плоскоокруглой формы, массой до 150 г. Благодаря великолепному вкусу незаменим для приготовления свежих летних салатов, прекрасно подходит для цельноплодного консервирования. Схема посадки 40х60 см. Гибрид устойчив к возбудителям вируса табачной мозаики, кладоспориоза, фузариоза, а также к резким перепадам температуры и влажности воздуха. Отличается ранним и дружным урожаем. Урожайность одного растения 4,5-5,0 кг.</t>
  </si>
  <si>
    <t>4601431010840</t>
  </si>
  <si>
    <t>Томат Краснобай F1 12шт. (Гав)</t>
  </si>
  <si>
    <t>Среднепоздний (115-120 дней от всходов до плодоношения) индетерминантный (с неограниченным ростом) высокорослый гибрид, рекомендован для пленочных и остекленных теплиц, пленочных тоннелей. Посев на рассаду в конце февраля – начале марта.</t>
  </si>
  <si>
    <t>4601431062764</t>
  </si>
  <si>
    <t>Томат Лев Толстой F1 12 шт. (Гав)</t>
  </si>
  <si>
    <t>Крупный, мясистый, с сахарной и сочной, как у арбуза мякотью гибрид для выращивания в открытом грунте и теплицах. Плоды плоскоокруглые, красные, 5-6-ти камерные, массой 250-300 (при первых сборах до 500) г. Растение детерминантное (с ограниченным ростом), высотой 120-130 см, вступает в плодоношение через 115-120 дней. Гибрид устойчив к основным заболеваниям томата, холодостойкий. Деликатесный вкус и насыщенный аромат томата, особенно чувствуется в салатах, соках и соусах</t>
  </si>
  <si>
    <t>4601431113329</t>
  </si>
  <si>
    <t>Томат Леденец розовый 0,05гр. (Гав.)</t>
  </si>
  <si>
    <t>Среднеранний урожайный (90-110 дней от всходов до созревания) сорт. Растение индетерминантное. Плодоношение томата длительное. Для выращивания в теплицах и открытом грунте (южные регионы). Плоды массой 35-40 г, средней плотности, сливовидной формы. Спелые томаты красивого ярко-розового цвета с продольными зелеными полосками. В кисти томата содержится 6-10 и более супер-сладких, изумительных томатов. Свежие, полезные витаминные «конфетки» рекомендуются для употребления в свежем виде, приготовления салатов, запекания, вяления и замораживания.</t>
  </si>
  <si>
    <t>4601431000377</t>
  </si>
  <si>
    <t>Томат Лежебок 12 шт. (Гав.)</t>
  </si>
  <si>
    <t>Среднеспелый (111-115 дней от всходов до плодоношения) среднерослый (1,3-1,5 м) гибрид, рекомендован для пленочных и остекленных теплиц. Посев на рассаду в конце марта – начале апреля. Пикировка рассады в фазе первого настоящего листа. Высадка рассады в теплицы в начале-середине мая в возрасте 40 дней (если апрель теплый, то высадка рассады возможна в конце апреля). Формируют в один стебель за счет перевода точки роста на боковой побег («пасынок»). Плоды плоскоокруглой формы, массой 140-160 г. Прекрасно подходит для приготовления свежих салатов и цельноплодного консервирования. Гибрид отличается высокой лежкостью плодов. Схема посадки 40х60 см. Гибрид устойчив к возбудителям вируса табачной мозаики, кладоспориоза, фузариоза. Урожайность одного растения 6,5-7,0 кг.</t>
  </si>
  <si>
    <t>4601431091443</t>
  </si>
  <si>
    <t>Томат Любо Зелено 0,1 гр. (Гав)</t>
  </si>
  <si>
    <t>Один из лучших зеленоплодных томатов для салатов. Сорт среднеранний (111-115 дней от полных всходов до созревания), высокоурожайный, для открытого грунта и теплиц. Среднерослое растение высотой до 1,5 м. Плоды плоскоокруглые, слаборебристые, крупные (средняя масса 250 г), сладкие, очень вкусные. Окраска незрелых плодов зеленая, зрелых — изумрудно-зеленая с бронзовым оттенком.  Рекомендуется для использования в свежем виде, в домашней кулинарии и консервировании. Посев на рассаду — в марте-апреле на глубину 1-2 см.</t>
  </si>
  <si>
    <t>4601431000223</t>
  </si>
  <si>
    <t>Томат Ля-Ля-Фа F1  12 шт. (Гав)</t>
  </si>
  <si>
    <t>Среднеспелый (100-110 дней от всходов до плодоношения) низкорослый (до 80 см) гибрид, рекомендован для пленочных теплиц, тоннелей и открытого грунта. Посев на рассаду конец марта - начало апреля. Пикировка в фазе первого настоящего листа. Высадка рассады в грунт после окончания весенних заморозков в возрасте 35-40 дней. Плоды плоскоокруглой формы, массой 120-140 г. Не растрескиваются. Отлично подходят для цельноплодного консервирования, приготовления салатов. В открытом и защищенном грунте растения формируют в 1-2 стебля. Схема посадки 40х50 см. Гибрид устойчив к возбудителям вируса табачной мозаики, фузариоза. Отличается дружной отдачей урожая. Урожайность одного растения 3,5-4,0 кг.</t>
  </si>
  <si>
    <t>4601431020078</t>
  </si>
  <si>
    <t>Томат Ля-Ля-Фа серия 1+1  25 шт.(Гав)</t>
  </si>
  <si>
    <t>4601431000179</t>
  </si>
  <si>
    <t>Томат Маргарита 12шт (Гав)</t>
  </si>
  <si>
    <t>Среднеспелый (106-110 дней от всходов до плодоношения) высокорослый (1,5-1,8 м) гибрид, рекомендован для пленочных и остекленных теплиц. Посев на рассаду в конце марта – начале апреля. Пикировка в фазе первого настоящего листа. Высадка рассады в теплицы в начале-середине мая в возрасте 40 дней. Гибрид устойчив к возбудителям вируса табачной мозаики, кладоспориоза, фузариоза. Урожайность одного растения 6,5-7,0 кг</t>
  </si>
  <si>
    <t>4601431047853</t>
  </si>
  <si>
    <t>Томат Полфаст 10 шт.(Гав)</t>
  </si>
  <si>
    <t>Ранний (86-91 день от всходов до плодоношения) высокоурожайный низкорослый гибрид для выращивания в открытом грунте и пленочных теплицах. Растение детерминантное, высотой 60-65 см. Плоды плоскоокруглой формы, красные, слаборебристые, красивые, очень вкусные, не растрескиваются, массой 100-150 г. Прекрасно подойдут для приготовления салатов, соков, консервирования в собственном соку. Гибрид отличается хорошей завязываемостью плодов при пониженных температурах. Устойчив к фузариозу и вертициллезу. Урожайность — 3,1-6,2 кг/м2. Посев на рассаду — в конце марта — начале апреля. Пикировка — в фазе первого настоящего листа. Высадка рассады в теплицы— в мае. Схема посадки: 40х50 см. Через несколько дней после высадки растения подвязывают.</t>
  </si>
  <si>
    <t>4601431055513</t>
  </si>
  <si>
    <t>Томат Синичка 0,05 гр.(Гав)</t>
  </si>
  <si>
    <t>Очень ранний (от всходов до плодоношения 85–95 дней) сорт для выращивания в горшечной культуре дома и уплотненных посадок в открытом грунте. Растение детерминантное, штамбовое, с простыми кистями, высотой 40 см. Плоды вишневидные, желтые, массой 15–20 г, с медовым вкусом и сильным томатным ароматом. Прекрасное угощенье, как в свежем, так и в маринованном виде.</t>
  </si>
  <si>
    <t>4601431103849</t>
  </si>
  <si>
    <t>Томат Спящий гигант 0,1 г (Гав)</t>
  </si>
  <si>
    <t>Среднепоздний (115-120 дней от всходов до плодоношения) сорт для любителей сочных с сахарной мякотью томатов.  Растение высокорослое (до 180 см), для выращивания в пленочных теплицах и открытом грунте (с подвязкой к кольям). В кисти содержится от 3 до 4 крупных плодов красного цвета округлой-сердцевидной формы, массой до 400 г.</t>
  </si>
  <si>
    <t>4601431000612</t>
  </si>
  <si>
    <t>Томат Тигрис 0,1 гр. (Гав)</t>
  </si>
  <si>
    <t>Особенность сорта — привлекательные шаровидные плоды хищной окраски, массой 90-100 г. Сорт раннеспелый (95-100 дней от всходов до уборки). Томаты на кустах не осыпаются и не трескаются в течение длительного периода. Растение индетерминантное (с неограниченным ростом), хорошо подходит для выращивания в открытом грунте с подвязкой к кольям. Для получения более высоких урожаев рекомендуется высаживать растения в теплицы и формировать кусты. Мякоть сладкая с приятной кислинкой, вкусная и ароматная. Томаты очень декоративны и рекомендуются для создания оригинальных «полосатых» консервов, интересных фуршетных закусок и салатов</t>
  </si>
  <si>
    <t>4601431049024</t>
  </si>
  <si>
    <t>Томат Толстой F1 Голландия 10 шт. (Гав)</t>
  </si>
  <si>
    <t>4601431092464</t>
  </si>
  <si>
    <t>Томат Троя 12 шт. (Гав)</t>
  </si>
  <si>
    <t>Среднеспелый (от всходов до плодоношения 108-112 дней) высокоурожайный гибрид для теплиц, пленочных укрытий и открытого грунта. Растение индетерминантное (до 1,5 м в теплицах), среднеоблиственное. Соцветие промежуточное. Плод округлой или плоскоокруглой формы, плотный, гладкий, слаборебристый, отличного вкуса, массой 200 г,</t>
  </si>
  <si>
    <t>4601431118706</t>
  </si>
  <si>
    <t>Томат Тюленька красная 0,05 г (Гав)</t>
  </si>
  <si>
    <t>Среднеспелый (105-110 дней от всходов) урожайный сорт для пленочных теплиц и открытого грунта. Растение малооблиственное, полудетерминантное, высотой 140-160 см нуждается в опоре и пасынковании. Спелые плоды ярко-красные, красивой сердцевидной формы с носиком, массой 150-250 г. Малосемянные, мясистые, сладкие с легкой кислинкой и тонким ароматом идеальны для употребления в свежем виде и густых соусов.</t>
  </si>
  <si>
    <t>4601431055070</t>
  </si>
  <si>
    <t>Томат Ушаков 0,05 г(Гав)</t>
  </si>
  <si>
    <t>Раннеспелый (100-110 дней от всходов до плодоношения) детерминантный   сорт (до 60 см). Рекомендуется для выращивания в открытом грунте и в пленочных теплицах. Плоды яйцевидные, гладкие, красные, массой 60-70 г. Идеальны для засолки и  цельноплодного консервирования, используются для приготовления свежих салатов. Сорт устойчив к вертициллезу и фузариозному увяданию. Посев на рассаду в марте — начале апреля. Пикировка рассады в фазе первого настоящего листа. Посадка рассады в грунт — начало-середина мая или конец мая – начало июня. Растение требует формировки и подвязывания.  Урожайность 4,2 кг/м2.</t>
  </si>
  <si>
    <t>4601431002166</t>
  </si>
  <si>
    <t>Томат Фунтик F1 12шт (Гав)</t>
  </si>
  <si>
    <t>Среднепоздний (120-125 дней от всходов до плодоношения) индетерминантный (с неограниченным ростом) гибрид, рекомендован для пленочных и остекленных теплиц. Посев на рассаду в конце февраля – начале марта. Пикировка в фазе первого настоящего листа. В период выращивания рассады необходима досветка. Высадка рассады в теплицы в конце апреля в возрасте 50-55 дней. Обязательна подвязка растений через несколько дней после посадки. Первое соцветие закладывается над 11-12-м листом, затем они следуют через 3 листа. Необходимо проводить прищипку соцветий, оставляя не более 4-5 цветков. Формируют в один стебель, удаляя все «пасынки» и нижние листья, а так же прищипывают точку роста в конце вегетации. Плоды плоскоокруглой формы, слегка ребристые, массой 180-220 г. Благодаря великолепному вкусу, незаменим для приготовления свежих летних салатов. Схема посадки 40х60 см.</t>
  </si>
  <si>
    <t>4601431052772</t>
  </si>
  <si>
    <t>Томат Царевна-лягушка 0.1г (Гав)</t>
  </si>
  <si>
    <t>Среднеранний (111-115 дней от полных всходов до созревания) сорт для открытого грунта и пленочных теплиц. Растение среднерослое, высотой до 1,5 м, мощное. Плоды крупные, многокамерные, плоскоокруглые, слаборебристые, средней массой 250 г, с изысканным вкусом. Окраска незрелого плода зеленая, зрелого - изумрудно-зеленая с бронзовым оттенком. Рекомендуется для использования в свежем виде, в домашней кулинарии и консервировании. Ценность сорта: высокая урожайность, крупноплодность, оригинальная окраска и высокие вкусовые качества плодов. Урожайность до 6,5 кг/кв.м.</t>
  </si>
  <si>
    <t>4601431007673</t>
  </si>
  <si>
    <t>Томат Чио-чио-сан 0,05 г  (Гав)</t>
  </si>
  <si>
    <t>Среднеспелый (110-120 дней от всходов до плодоношения) индетерминантный (с неограниченным ростом) сорт, рекомендован для пленочных теплиц и открытого грунта с подвязкой к кольям. Отличительной особенностью сорта является огромная разветвленная кисть, на которой образуется 50 и более плодов. Плоды розовые, сливовидной формы, массой 30-40 г, обладающие отличным десертным вкусом. Рекомендуются для приготовления салатов и цельноплодного консервирования. Плоды собирают по мере их созревания. Схема посадки 40х60 см. Сорт устойчив к вирусу табачной мозаики. Урожайность одного растения 4,0 кг.</t>
  </si>
  <si>
    <t>4601431002791</t>
  </si>
  <si>
    <t>Томат Чухлома 0,05 гр. (Гав.)</t>
  </si>
  <si>
    <t>Среднеспелый (111-115 дней от всходов до плодоношения) сильнорослый (более 2,0 м) сорт, рекомендован для временных пленочных укрытий, а также пленочных необогреваемых теплиц. Плоды банановидной формы, ярко-оранжевой окраски, длиной 10-12 см, массой 110-120 г, отличаются повышенным содержанием каротина. Сорт устойчив к возбудителям  вируса табачной мозаики, фузариоза, кладоспориоза. Урожайность одного растения 4,5-5,5 кг.</t>
  </si>
  <si>
    <t>4601431019027</t>
  </si>
  <si>
    <t>Томат Шерхан 0,05 гр. (Гав)</t>
  </si>
  <si>
    <t>Гибрид, предназначенный для выращивания в теплицах и на открытом грунте. Растение индетерминантное, требует подвязки к опоре и пасынкования. Плоды ярко-красного цвета, крупные, сочные, мясистые, массой от 150 до 300 г.</t>
  </si>
  <si>
    <t>4601431119741</t>
  </si>
  <si>
    <t>Томат Шоколадный банан 0,05 гр. (Гав)</t>
  </si>
  <si>
    <t>Из всего разнообразия сортов и оттенков гроздья томатов с вытянутой формой привлекают внимание любого огородника. А количество плодов на кусте приятно удивит хозяек. Среднеспелый (105-110 дней от всходов до плодоношения) высокорослый (до 2 м) сорт, рекомендован для открытого грунта в южных регионах и временных пленочных укрытий (с подвязкой к кольям). Плоды цилиндрической формы, шоколадного цвета, массой 90–120 г, салатного назначения и для цельноплодного консервирования. Урожайность 15,6 кг/кв.м.</t>
  </si>
  <si>
    <t>4601431117013</t>
  </si>
  <si>
    <t>Трава для кошек с пшеницей 10гр. (Гав)</t>
  </si>
  <si>
    <t>Домашние коты и кошки с удовольствием наслаждаются поеданием свежей травки. Зелень является источником витаминов и полезных микро- и макроэлементов. При отсутствии подходящей растительности кот начинает грызть домашние цветы, многие из которых представляют опасность для его здоровья. Поэтому вырастить траву для мурлыки можно самостоятельно, это не занимает больших финансовых и трудовых затрат и гарантирует безопасность и экологичность продукта.</t>
  </si>
  <si>
    <t>4601431117037</t>
  </si>
  <si>
    <t>Трава для кошек с ячменем 10гр. (Гав)</t>
  </si>
  <si>
    <t>Наши усатые друзья с удовольствием разнообразят свое меню вкусной и сочной зеленью, которая насытит организм витаминами и полезными микроэлементами.  Домашним котам сложнее полакомиться сладкой травкой, поэтому они пытаются поживиться комнатными растениями, многие из которых ядовиты для кошек. Спасти своего любимца очень легко — вырастить зеленую вкуснятину можно самостоятельно, что потребует минимальных затрат, но гарантирует безопасность и экологичность продукта.</t>
  </si>
  <si>
    <t>4601431010642</t>
  </si>
  <si>
    <t>Трава для кошек Скакун 10гр. (Гав)</t>
  </si>
  <si>
    <t>Содержимое пакета посеять в любой субстрат (речной песок, земля При достижении травой высоты 10 см (через 10-15 дней после посева) кошка может лакомиться. грядки, так и срезанной, измельченной травой, которую добавляют в корм. Выращивать свежую зелень можно круглый год.</t>
  </si>
  <si>
    <t>4601431022461</t>
  </si>
  <si>
    <t>Трава для собак Дружок 10гр. (Гав)</t>
  </si>
  <si>
    <t>Собаки охотно поедают траву, выращенную в домашних условиях.   . Вырастить свежую травку довольно легко. Для этого содержимое пакета необходимо посеять в любой субстрат (речной песок, земля и др.) в поддон, ящик , плошку, обильно полить. При достижении травой высоты 10 см (через 10-15 дней после посева) собака может лакомиться.</t>
  </si>
  <si>
    <t>4601431022430</t>
  </si>
  <si>
    <t>Трава для хомячков Пушистик 10гр. (Гав)</t>
  </si>
  <si>
    <t>Свежая зеленая трава, выращенная в домашних условиях или на грядке, является ценной экологически чистой добавкой в рацион хомячков. Она содержит клетчатку, протеины, витамины, ферменты, микроэлементы, которые так нужны нашим питомцам и которые они порой недополучают в своем рационе. Кроме того, она как «веник» очищает желудок от комочков шести и слизи. Вырастить свежую травку довольно легко. Для этого содержимое пакета необходимо посеять в любой субстрат (речной песок, землю и др.) в поддон, ящик , плошку, обильно полить, накрыть пленкой и поставить в теплое место для получения быстрых и дружных всходов. При появлении всходов пленку снимают, а сосуд ставят в хорошо освещенное место. Всходы периодически поливают, не допуская пересушивания субстрата. Срезанную и измельченную траву добавляют в корм. Также хомячки могут самостоятельно лакомиться всходами, с удовольствием надгрызая сладкие стебельки. Выращивать свежую зелень можно круглый год и обеспечивать животных ценным натуральным питанием, улучшающим их настр</t>
  </si>
  <si>
    <t>4601431010659</t>
  </si>
  <si>
    <t>Турнепс Остерзундомский (кормовая репа) 2,0 гр. (Гав.)</t>
  </si>
  <si>
    <t>Кормовая репа. Корнеплод длинный, конусовидный. Окраска кожицы в нижней части белая, в верхней — фиолетовая с прозеленью. Холодостойкий. Хорошо растет на суглинистых и дерново-подзолистых супесчаных почвах. Высевают в конце апреля -начале мая, при повторном посеве — летом</t>
  </si>
  <si>
    <t>4601431117006</t>
  </si>
  <si>
    <t>Тыква Аннушка, мускатная 1,0 г. (Гав)</t>
  </si>
  <si>
    <t>Среднепоздний сорт мускатной тыквы. Растение длинноплетистое. Лист среднего размера, темно-зеленый с белой пятнистостью. Плод булавовидный, длинный, коричневый с продольными крупными пятнами в виде полосок и мелкими густыми пятнами светло-коричневой окраски, гладкая, массой 3,5-4,5 кг.</t>
  </si>
  <si>
    <t>4601431107342</t>
  </si>
  <si>
    <t>Тыква Болгарка (Дамский ноготь), на семечки 2 гр.(Гав)</t>
  </si>
  <si>
    <t>Среднеспелый (110-115 дней от всходов до плодоношения) урожайный сорт. Растение кустового типа.  Плоды желтого окраса, округло овальной формы массой 3,0-4,0 кг с плотной твердой корой. Мякоть плотная, сочная, сладковатая на вкус, семенная камера большая. Сорт ценится за высокие урожаи масличных семян с отличной товарностью. По форме семена напоминают дамский ноготок, вкусные и ароматные подходят для употребления в сыром и жареном виде. Выращивается как рассадным способом, так и прямым посевом в грунт.</t>
  </si>
  <si>
    <t>4601431022027</t>
  </si>
  <si>
    <t>Укроп Карусель (Гав)</t>
  </si>
  <si>
    <t>Сорт раннеспелый, начало товарной годности наступает через 41-43 дня от появления полных всходов, на специи – 52-60 дней. Растение раскидистое, средней высоты. Розетка листьев полуприподнятая, высотой 23 см. Масса зелени с одного растения 10-30 г. Листья зеленые, среднерассеченные, сегмент уплощенно-нитевидный. Длина листа 20-21 см, ширина 16-17 см. Ароматичность сильная. Средняя урожайность зелени – 1,1 кг/м2, на специи – 3,0-3,5 кг/м2. Зонтики используют для приготовления пряных маринадов при консервировании и засолке овощей.</t>
  </si>
  <si>
    <t>4601431027879</t>
  </si>
  <si>
    <t>Укроп Озорник 2,0 гр. (Гав)</t>
  </si>
  <si>
    <t>Укроп — кладезь витаминов и минеральных солей. Он легко выращивается в домашних условиях на окне или балконе, в контейнерных грядках или среди цветов. Главное правило — не загущать посевы. Тогда растения будут прочными и крепкими, хорошо облиственными, а сбор зелени высоким. Сорт среднепоздний, долго не образует зонтик. Розетка листьев приподнятая. Растение полураскидистое, сильнооблиственное. Лист сизо-зеленый, сильнорассеченный с восковым налетом. Масса одного растения при уборке на зелень 25-35 г. Ароматичность сильная. Товарная урожайность на зелень 1,6 кг/кв.м. Рекомендуется для ежедневного использования в свежем виде, в качестве пряной добавки в традиционные блюда. При уборке целых растений производят подсевы с апреля по август через 5-7 см.</t>
  </si>
  <si>
    <t>4601431005518</t>
  </si>
  <si>
    <t>Укроп Ришелье 2гр.(Гав)</t>
  </si>
  <si>
    <t>Среднеспелый (40-42 дня от всходов до сбора зелени, 49-56 дней до цветения) сорт Предназначен для получения зелени и специй. Розетка крупная. Лист кружевной синевато-зеленый. В фазе цветения растения имеют большое количество листьев на стебле и сильный аромат.</t>
  </si>
  <si>
    <t>4601431115651</t>
  </si>
  <si>
    <t>Фасоль Станичная 5 гр. (Гав)</t>
  </si>
  <si>
    <t>Среднеспелый (66-86 дней от всходов до технической спелости) урожайный сорт зерновой фасоли.  Рекомендуется для всех зон возделывания культуры Растение кустовое, высотой 30-58 см.  Цветки розовые.  Бобы зеленого цвета с фиолетовыми прожилками, слабо изогнутые, длинные, широкие, имеют пергаментный слой. Семена серого цвета с фиолетовыми штрихами, форма продольного сечения семян эллиптическая. Вкусовые и товарные качества высокие. Рекомендуется для домашней кулинарии, для приготовления различных супов, гарниров и консервирования на зиму. Сорт ценится за устойчивость к полеганию и осыпанию.</t>
  </si>
  <si>
    <t>4601431026599</t>
  </si>
  <si>
    <t>Фасоль Фатима 5,0 г сер. Урожай на окне (Гав)</t>
  </si>
  <si>
    <t>Среднеспелая (55 дней от полных всходов до технической спелости) вьющаяся, спаржевая фасоль. Ее интенсивный рост обеспечивает зеленое декорирование балкона, а многочисленные бобы — регулярные сборы урожая. Растение среднеоблиственное. Длина побегов 3 м, высота прикрепления нижних бобов 45 см. Бобы прямые, длиной   21 см, шириной 2 см, светло-зеленого цвета.</t>
  </si>
  <si>
    <t>4601431005525</t>
  </si>
  <si>
    <t>Физалис Кудесник (Гав)</t>
  </si>
  <si>
    <t>Среднеспелое (от всходов до созревания около 130-140 дней) теплолюбивое растение. Высота до 1.8 м в пленочной теплице. Опушение слабое. По сравнению с другими формами этого вида более вынослив к неблагоприятным внешним условиям. Междоузлия укорочены, что, наряду с крупноплодностью, приводит к значительному повышению продуктивности - до до 1.0 кг/ м2.</t>
  </si>
  <si>
    <t>4601431003897</t>
  </si>
  <si>
    <t>Ц Агератум Голубая норка (одн) 0,05 гр.(Гав)</t>
  </si>
  <si>
    <t>Высотой 20-25 см. Цветение обильное с июня до заморозков. Душистые мелкие темно-голубые цветки собраны в плотные пушистые соцветия 5-8 см в диаметре. Достаточно засухоустойчив, светолюбив.</t>
  </si>
  <si>
    <t>4601431108769</t>
  </si>
  <si>
    <t>Ц Агератум Красный букет 0,05 гр. (Гав)</t>
  </si>
  <si>
    <t>Декоративное растение из семейства Астровые, культивируемое как однолетник, высотой до 60 см. Цветение обильное с июня до заморозков. Душистые мелкие цветки собраны в небольшие пурпурные соцветия-корзинки 1–1,5 см в диаметре, которые, в свою очередь, собраны в сложные щитковидные соцветия до 10 см в поперечнике. Достаточно засухоустойчив, светолюбив, но может расти при небольшом затенении, предпочитает легкие, умеренно плодородные почвы. Теплолюбив, заморозков не переносит. Выращивают рассадным способом. Посев проводят в конце марта–начале апреля, всходы появляются через 8–12 дней. Рассаду высаживают в конце мая–начале июня, после окончания весенних заморозков. Используют для посадки на клумбах, в рабатках, миксбордерах, а также в балконные ящики.</t>
  </si>
  <si>
    <t>4601431098459</t>
  </si>
  <si>
    <t>Ц Агератум Розовое облачко 0,05 гр. (одн) (Гав)</t>
  </si>
  <si>
    <t>Это декоративное растение полюбилось садоводам симпатичными пушистыми цветами, нежно-розовой окраски, плотные соцветия которых смахивают на ароматные помпончики, наполняющие окружающее пространство приятным запахом. Агератум привлекателен своим свойством длительное время сохранять свежесть после срезки, а также продолжительным и обильным цветением с июня до заморозков. Достаточно засухоустойчив, светолюбив, но может расти при небольшом затенении, предпочитает легкие, умеренно плодородные почвы. Теплолюбив, заморозков не переносит. Выращивают рассадным способом. Успешно используют для посадки на клумбах, рабатках, миксбордерах, в балконные ящики, а также для создания ковровых композиций; неоценимы в работах флористов и дизайнеров.</t>
  </si>
  <si>
    <t>4601431030886</t>
  </si>
  <si>
    <t>Ц Агератум Синий букет 0,05 гр. (Гав)</t>
  </si>
  <si>
    <t>Этот сорт агератума великолепен в срезке. Его душистые соцветия источают приятный парфюмерный аромат. Относится к семейству Астровые, культивируется как однолетник. Растение прямостоячее, ветвистое, высотой до 60 см. Цветение обильное с июня до заморозков. Душистые мелкие синие цветки собраны в плотные пушистые соцветия 5-8 см в диаметре. Достаточно засухоустойчивое, светолюбивое, но может расти при небольшом затенении, предпочитает легкие, умеренно плодородные почвы. Теплолюбив, заморозков не переносит. Выращивают рассадным способом. Посев проводят в конце марта-начале апреля, всходы появляются через 8-12 дней. Высадка рассады в конце мая-начале июня, после окончания весенних заморозков, по схеме 20 х 20 см. Используют для посадки на клумбах, в рабатках.</t>
  </si>
  <si>
    <t>4601431098329</t>
  </si>
  <si>
    <t>Ц Аквилегия Башня красная с белым 0,05 гр. (Гав)</t>
  </si>
  <si>
    <t>Растение многолетнее. Куст компактный, с объемной листвой и возвышающейся на прочных цветоносах букет изысканно прекрасных махровых цветков, красной с белым окраски, которые смотрят вверх и никогда не поникают.</t>
  </si>
  <si>
    <t>4601431005587</t>
  </si>
  <si>
    <t>Ц Аквилегия Обыкновенная, смесь 0,05 гр. (Гав)</t>
  </si>
  <si>
    <t>Неприхотливое травянистое растение семейства Лютиковые высотой 50—100 см. Цветки правильные, крупные, до 10 см в диаметре, с загнутым крючком шпорцем, разнообразной окраски. Растения морозоустойчивые, переносят полутень, предпочитают умеренно влажные места, рыхлые перегнойные почвы. Размножают в основном семенами, которые высевают сразу после их сбора. После промораживания можно сеять и ранней весной в открытый грунт. Цветение в первой половине лета. Взрослые растения плохо переносят пересадку. Используют в групповых посадках среди деревьев и кустарников, в миксбордерах, на газонах недалеко от дорожек.</t>
  </si>
  <si>
    <t>4601431017290</t>
  </si>
  <si>
    <t>Ц Аквилегия Тауер темно-синяя 10 шт.(Гав)</t>
  </si>
  <si>
    <t>Многолетнее растение из семейства Лютиковые. Аквилегии серии Тауер имеют красивый габитус куста, декоративную листву, прочные цветоносы до 70 см высотой. Цветки темно-синие, плотно-махровые, великолепной формы, с короткой шпорой, 4-5 см в диаметре. Цветут с конца мая до середины июля.</t>
  </si>
  <si>
    <t>4601431042605</t>
  </si>
  <si>
    <t>Ц Амарант Гламурный блеск 0,1 г (Гав.)</t>
  </si>
  <si>
    <t>Эффектное растение для настоящих эстетов. Быстро формирует прямостоячий куст высотой до 50 см. Листья крупные, декоративно расскрашенные в благородные оттенки бордового цвета. Цветки невзрачные, темно-фиолетовые. Предпочитает солнечные, защищенные от ветра участки с плодородной и достаточно увлажненной почвой.</t>
  </si>
  <si>
    <t>4601431051676</t>
  </si>
  <si>
    <t>Ц Антигонон розовый Лиана любви 5 шт. (Гав) 193528311</t>
  </si>
  <si>
    <t>Вьющееся вечнозеленое растение со слегка одревесневающим стеблем из семейства Гречишные. В естественных условиях может достигать 13 м, но в культуре обычно вырастает до 6 м. Листья крупные, насыщенно-зеленые, сердцевидные, с бархатистой поверхностью. Ярко-розовые цветки собраны в пушистые кисти по 20 шт. После цветения на растении образуются плоды — конусовидные глянцевые орешки коричневого цвета. Характерной особенностью антигонона является наличие усиков не только в пазухах листьев, но и на концах цветочных кистей. И, когда эти усики прикрепляются к опорам, кажется, что растение украшено яркими бусами, и это придает ему совершенно неповторимое очарование. В умеренном климате антигонон можно выращивать в качестве комнатного растения, которое летом содержат в квартире или на балконе, а зимой переносят в прохладное помещение. Или высаживают летом в саду, а осенью убирают и хранят клубни при температуре 2-5°С.</t>
  </si>
  <si>
    <t>4601431006164</t>
  </si>
  <si>
    <t>Ц Арабис Розовый, альпийский  0,05 гр.(Гав)</t>
  </si>
  <si>
    <t>Многолетнее почвопокровное растение со стелющимися стеблями высотой до 20 см. Цветки до 1,5 см в диаметре, розовые, собраны в кистевидные соцветия до 8 см длиной. Цветет с апреля по июль, образуя сплошной ковер из многочисленных цветков. После цветения растение обрезают на высоту 4-5 см. Через 2-3 недели побеги отрастают и кустики приобретают пышность. Зимостойко, но на открытых участках требует лёгкого укрытия. Хорошо растет на бедных, рыхлых, сухих почвах. Семена высевают весной или под зиму.</t>
  </si>
  <si>
    <t>4601431116474</t>
  </si>
  <si>
    <t>Ц Астра Баллон кармин 0,05 гр (Гав)</t>
  </si>
  <si>
    <t>Легендарная серия астр Balloon (Воздушный шар) является абсолютным рекордсменом среди всех астр по степени махровости и плотности шаровидных соцветий. Растение пирамидальной формы, высотой 50-60 см с прочными цветоносами и крупными, пушистыми цветками диаметром 9-13 см преобразят невзрачные, пустующие места в саду, добавят ярких красок и будут радовать сочными насыщенными оттенками и воздушно-легким ароматом на протяжении длительного периода цветения. На одном кустике формируется до 6-8 соцветий карминно-лососевого оттенка. Выращивают, чаще всего, рассадным способом. Отличаются великолепными срезочными качествами, до двух недель стоят в воде, сохраняя декоративность. Эффектный внешний вид и некапризный характер делает серию Баллон бесспорным фаворитом на участке.</t>
  </si>
  <si>
    <t>4601431012165</t>
  </si>
  <si>
    <t>Ц Астра Изобилие фиолетовое 0,3гр.(Гав)</t>
  </si>
  <si>
    <t>Растение высотой 50-65 см. Соцветия махровые, пионовидные, диаметром 8-10 см, фиолетовой окраски. Для выращивания подходят хорошо освещенные участки с плодородной суглинистой или супесчаной почвой. Астры обладают высокой холодостойкостью – хорошо переносят заморозки до -3-4°C. Выращивают, чаще всего, рассадным способом. Используются для получения срезки и оформления участка.</t>
  </si>
  <si>
    <t>4601431030084</t>
  </si>
  <si>
    <t>Ц Астра Катенька 0,3гр.(Гав)</t>
  </si>
  <si>
    <t>Относится к сортотипу Воронежские. Сорт ранний, зацветает на 85-88 день после появления всходов. Растение компактное, колонновидное, букетного типа, высотой 55-60 см. Соцветия белые, с желтоватым центром в начале роспуска, полусферические, махровые, диаметром 7-8 см. В начале цветения язычковые цветки скручены в трубку, затем приобретают ладьевидную форму. На растении одновременно цветут 9-12 соцветий. Для выращивания подходят хорошо освещенные участки с плодородной суглинистой или супесчаной почвой. Выращивают, чаще всего, рассадным способом. Используется для получения срезки и декоративного оформления участка.</t>
  </si>
  <si>
    <t>4601431047273</t>
  </si>
  <si>
    <t>Ц Астра Марсианка, воронежская сиреневая 0,3 гр. (Гав)</t>
  </si>
  <si>
    <t>Завораживающий сорт Воронежской астры. Соцветия махровые, диаметром 6-7 см, насыщенно-розовые с ярким акцентом — белой продольной полосой на язычковых цветках. Растение колонновидной формы с прочными цветоносами высотой 50-55 см. В пору цветения на одном кусте одновременно распускается до 20 соцветий. Для выращивания подходят хорошо освещенные участки с плодородной суглинистой или супесчаной почвой. Астры обладают высокой холодостойкостью – хорошо переносят заморозки до -3-4°C. Выращивают, чаще всего, рассадным способом. Семена высевают в марте-апреле, пикируют с развитием первой пары настоящих листочков по схеме 5х5 см, в открытый грунт рассаду высаживают с середины мая до начала июня. Возможен посев семян в открытый грунт ранней весной или под зиму с последующим мульчированием торфом или опилками. Используются для получения высококачественной срезки и оформления участка. Особенно хорошо смотрится отдельными группами на газоне.</t>
  </si>
  <si>
    <t>4601431041240</t>
  </si>
  <si>
    <t>Ц Астра Пампушка клубничная 0,3 гр.(Гав)</t>
  </si>
  <si>
    <t>Растение высотой 50 см. Соцветия полусферические, красной окраски, диаметром 4-5 см. Для выращивания подходят хорошо освещенные участки с плодородной суглинистой или супесчаной почвой. Астры обладают высокой холодостойкостью – хорошо переносят заморозки до -3-4оС. Выращивают, чаще всего, рассадным способом.</t>
  </si>
  <si>
    <t>4601431041264</t>
  </si>
  <si>
    <t>Ц Астра Пампушка черничная 0,3гр.(Гав)</t>
  </si>
  <si>
    <t>Растение высотой 50 см. Соцветия полусферические, темно-синей окраски, диаметром 4-5 см. Для выращивания подходят хорошо освещенные участки с плодородной суглинистой или супесчаной почвой. Астры обладают высокой холодостойкостью – хорошо переносят заморозки до -3-4оС. Выращивают чаще всего рассадным способом. Семена высевают в марте-апреле, пикируют с развитием первой пары настоящих листочков по схеме 5х5 см, в открытый грунт рассаду высаживают с середины мая до начала июня. Возможен подзимний посев астр: в конце октября на глубину 5-8 см. Сверху посевы мульчируют торфом или опилками на высоту 3-5 см. Весной (в конце марта-начале апреля) посевы раскрывают. Появившиеся в конце апреля всходы будут закаленными, а выросшие растения сильными, устойчивыми к заморозкам и обильно цвести. Используются для получения срезки и оформления участка.</t>
  </si>
  <si>
    <t>4601431007857</t>
  </si>
  <si>
    <t>Ц Астра Рудольф Гете, итальянская (мн)* 0,05 г (Гав)</t>
  </si>
  <si>
    <t>Неприхотливый холодостойкий многолетник высотой до 50 см. Куст полушаровидной формы с хорошо разветвленными опушенными стеблями, листья сидячие, линейноланцетные, расположенные в очередном порядке. Соцветия крупные, до 4-5 см в диаметре, в рыхлых щитках. Язычковые цветки лавандово-голубые, трубчатые – желтые. Цветет с августа до заморозков (в среднем 60-65 дней). Высевают весной на рассаду или в открытый грунт. Возможен подзимний посев.</t>
  </si>
  <si>
    <t>4601431030053</t>
  </si>
  <si>
    <t>Ц Астра Синие дали  0,3гр.(Гав)</t>
  </si>
  <si>
    <t>Относится к сортотипу Дюшес. Сорт очень ранний, зацветает на 76 день после появления всходов. Растение высотой 60 см, форма куста колонновидная. На растении распускается 7-8 полусферических серебристо-синих соцветий диаметром 8-9 см. Для выращивания подходят хорошо освещенные участки с плодородной суглинистой или супесчаной почвой</t>
  </si>
  <si>
    <t>4601431011540</t>
  </si>
  <si>
    <t>Ц Астра Танечкин букет 0,3гр.(Гав)</t>
  </si>
  <si>
    <t>Растение пирамидальное, сомкнутое, высотой до 55 см, диаметром 17 см. Соцветия язычкового типа, махровые, карминно-красной окраски. Для выращивания подходят хорошо освещенные участки с плодородной суглинистой или супесчаной почвой. Астры обладают высокой холодостойкостью – хорошо переносят заморозки до -3-4°C. Выращивают, чаще всего, рассадным способом. Семена высевают в марте-апреле, пикируют с развитием первой пары настоящих листочков по схеме 5х5 см, в открытый грунт рассаду высаживают с середины мая до начала июня. Возможен подзимний посев астр</t>
  </si>
  <si>
    <t>4601431008342</t>
  </si>
  <si>
    <t>Ц Астра Тяньшанская красавица, однолетняя (пионовидная белая) 0,3 г (Гав)</t>
  </si>
  <si>
    <t>Относится к сортотипу пионовидные. Растение пирамидальное, сомкнутое, высотой до 50 см, 10-12 цветоносов. Соцветия язычкового типа, снежно-белой окраски, диаметром 15-18 см. Для выращивания подходят хорошо освещенные участки с плодородной суглинистой или супесчаной почвой. Астры обладают высокой холодостойкостью – хорошо переносят заморозки до -3-4°C. Выращивают, чаще всего, рассадным способом. Используются для получения срезки и оформления участка.</t>
  </si>
  <si>
    <t>4601431003040</t>
  </si>
  <si>
    <t>Ц Астра Хелльгельб 0,3 гр.(Гав)</t>
  </si>
  <si>
    <t>Помпонная. Куст пирамидальной формы высотой 60 см. Соцветия светло-желтой окраски, 10-12 см в диаметре. Для выращивания подходят хорошо освещенные участки с плодородной суглинистой или супесчаной почвой. Астры обладают высокой холодостойкостью – хорошо переносят заморозки до -3-4 оС. Выращивают, чаще всего, рассадным способом. Используются  для получения срезки и оформления участка.</t>
  </si>
  <si>
    <t>4601431003033</t>
  </si>
  <si>
    <t>Ц Астра Хильда 0,3 гр.(Гав)</t>
  </si>
  <si>
    <t>Сортотип Принцесса. Растение раскидистой формы, высотой 60 см. Цветоносы прочные. Соцветия округло-плоские, диаметром 8-10 см, светло-желтые. Для выращивания подходят хорошо освещенные участки с плодородной суглинистой или супесчаной почвой. Астры обладают высокой холодостойкостью – хорошо переносят заморозки до -3-4°C. Выращивают, чаще всего, рассадным способом. Используются для получения срезки и оформления участка.</t>
  </si>
  <si>
    <t>4601431016477</t>
  </si>
  <si>
    <t>Ц Банан Басио декоративный Пигмей (комн) 3шт. (Гав) 193528142</t>
  </si>
  <si>
    <t>Тропическое травянистое растение из семейства Банановые. Имеет мощное корневище, вырастая до 2 м высотой. Листья красивые, крупные, с нежной фактурой, снизу красноватые, образуют «ложный» стебель. Банан самоопыляем. В плодоношение вступает с 3-5-летнего возраста, лучше в оранжереях или зимних садах. Зацветает весной, образуя большие эффектные связки. Летом завязывает несъедобные плоды, похожие на маленькие бананы, вызревающие к зиме. После плодоношения надземная часть растения отмирает, а из корневища появляются отпрыски, из которых развиваются полноценные растения. Банан свето -, влаго- и теплолюбив. Устойчив к пониженной влажности воздуха, но отзывчив на частые опрыскивания</t>
  </si>
  <si>
    <t>4601431015838</t>
  </si>
  <si>
    <t>Ц Барвинок (Катарантус) розовый Щеголь (комн) 0,05гр.(Гав)</t>
  </si>
  <si>
    <t>Многолетнее растение семейства Кутровые высотой 30-40 см и диаметром около 30 см. Весьма высоко ценится за свои ярко-розовые цветки. Цветет с весны до конца лета. Предпочитает яркое солнце и обильный полив. Летом растение можно выносить на воздух. В зимне-осенний период барвинок ставят на солнечные окна, чтобы продлить его цветение. С октября по март температурноголетнее растение семейства Кутровые высотой 30-40 см и диаметром около 30 см. Весьма высоко ценится за свои ярко-розовые цветки. Цветет с весны до конца лета. Предпочитает яркое солнце и обильный полив. Летом растение можно выносить на воздух. В зимне-осенний период барвинок ставят на солнечные окна, чтобы продлить его цветение. С октября по март температура воздуха не должна опускаться ниже 18 °C. Поливы сокращают, не допуская пересыхания почвы. Барвинок пересаживают ежегодно в январе-марте в больший, чем предыдущий, горшок. Чтобы растение приобретало форму кустика, его подрезают на высоту 8-10 см. Пышные ампельные формы не требуют сильной стрижки.</t>
  </si>
  <si>
    <t>4601431007413</t>
  </si>
  <si>
    <t>Ц Бархатцы Кармен откл. (одн) 0,3 гр.(Гав)</t>
  </si>
  <si>
    <t>Травянистое растение семейства Сложноцветные. Образует компактный густоветвящийся куст высотой 30 см. Соцветия-корзинки, диаметром 4-5 см, махровые, гвоздиковидные, красно-коричневые с желтым центром.Используют для посадки на клумбах, рабатках, бордюрах, в балконные ящики, можно использовать, как горшечную культуру.</t>
  </si>
  <si>
    <t>4601431024274</t>
  </si>
  <si>
    <t>Ц Бархатцы Лимонный пай 0,3 гр. Уд.с. (Гав)</t>
  </si>
  <si>
    <t>Бархатцы-широко распространенные в декоративном озеленении растения. Формируют куст высотой 70 см с прямостоячим стеблем и перисто-рассеченными листьями. Соцветия крупные (8-10 см в диаметре) густомахровые, шаровидные, лимонно-желтой окраски. Цветет продолжительно, с июня по сентябрь.</t>
  </si>
  <si>
    <t>4601431003569</t>
  </si>
  <si>
    <t>Ц Бархатцы Почетный Крест 0,3 гр.(Гав)</t>
  </si>
  <si>
    <t>Одно из самых распространенных однолетних растений семейства Астровые. Образует компактный густоветвящийся куст высотой 20 см. Соцветия золотисто-желтые с коричневыми пятнами. Цветет с июня по сентябрь. Светолюбивы и теплолюбивы, заморозков не переносят. К почвам нетребовательны, но предпочитают плодородные легкие почвы. Выращивают, как правило, рассадным способом. Посев проводят во второй половине марте - начале апреля.</t>
  </si>
  <si>
    <t>4601431028890</t>
  </si>
  <si>
    <t>Ц Бархатцы Риголетто  0,3 г Уд. с.(Гав)</t>
  </si>
  <si>
    <t>Куст цветущий, с сильноветвистыми от основания побегами, высотой 20–25см. Листья ажурные, перисторассеченные. Соцветия махровые, кармино-коричневые с золотисто-желтыми пятнами диаметром 5–6см. Цветение продолжительное, в течение всего лета.</t>
  </si>
  <si>
    <t>4601431028531</t>
  </si>
  <si>
    <t>Ц Бархатцы Рок-н-ролл  0,3 г Уд. с.(Гав)</t>
  </si>
  <si>
    <t>Низкорослые пышные кустики не вырастают выше 25 см в высоту. Зато цветки у них достаточно крупные и могут достигать в диаметре 6 см. Окрашены соцветия в ярко-желтый цвет, но посередине каждого лепестка прорисована жирная красно-коричневая полоса.</t>
  </si>
  <si>
    <t>4601431024267</t>
  </si>
  <si>
    <t>Ц Бархатцы Сюита  0,3 г Уд. с (Гав)</t>
  </si>
  <si>
    <t>Бархатцы широко распространенные в декоративном озеленении растения. Формируют куст высотой 70 см с прямостоячим стеблем и перисто-рассеченными листьями. Соцветия крупные (11-14 см в диаметре) густомахровые, оранжевой, золотисто-желтой и лимонно-желтой окраски. Цветет продолжительно, с июня по сентябрь. Бархатцы светолюбивы и теплолюбивы, засухоусточивы. К почвам нетребовательны, но предпочитают плодородные легкие почвы. Выращивают, как правило, рассадным способом. Используют для посадки на клумбах, в группах, для получения срезки.</t>
  </si>
  <si>
    <t>4601431079939</t>
  </si>
  <si>
    <t>Ц Бархатцы Танго красный 10 шт (Гав)</t>
  </si>
  <si>
    <t>Группа очаровательных сортов «Танго» с простыми однорядными соцветиями для профессионального и любительского озеленения. Кустики компактные, высотой 20 см, равномерно разрастаются, образуя ровный бордюр, рабатку или декоративный «островок» на газоне. Соцветия крупные, диаметром 4 см, обильно покрывают растение в период с июня по сентябрь. Растение светолюбивое и теплолюбивое, заморозков не переносит. Выращивают рассадным способом или посевом в открытый грунт.</t>
  </si>
  <si>
    <t>4601431087941</t>
  </si>
  <si>
    <t>Ц Бархатцы Янтарь пр. (30 см)  0,1 г (Гав)</t>
  </si>
  <si>
    <t>Однолетнее растение семейства Сложноцветные. Стебли прямостоячие, 35 см высотой. Соцветия-корзинки до 10-15 см в диаметре, темно-оранжевой окраски. В открытый грунт высевают в конце мая-начале июня. Всходы появляются на 5-10 день. Почву желательно накрыть нетканым материалом (акрил, лутрасил). В этом случае сеять можно на неделю-полторы раньше обычных сроков и тем самым ускорить цветение. На рассаду сеют в конце марта-начале апреля. Цветение начнется в июне. Бархатцы, высаженные рядом с огородными культурами, уменьшают их поражение грибными заболеваниями, особенно фузариозом, защищают от некоторых видов нематод. Бархатцы используют во всех видах цветников. Они хорошо растут в горшках, вазонах, балконных ящиках, в сочетании с примулами и цинерариями.</t>
  </si>
  <si>
    <t>4601431084032</t>
  </si>
  <si>
    <t>Ц Бегония Вишневый фонтан (комн) 4 гран.(Гав)</t>
  </si>
  <si>
    <t>Великолепные крупные бегонии, отвечающие самым высоким требованиям профессионального выращивания. Побеги мясистые, до 20-25 см,  с большими листьями и огромными густомахровыми  цветками вишневой окраски. Цветение обильное, с мая по октябрь. Предпочитают плодородные почвы со слегка кислой реакцией, светлые или слегка затененные помещения, температура в которых не должна превышать 23°C.</t>
  </si>
  <si>
    <t>4601431017511</t>
  </si>
  <si>
    <t>Ц Бегония Гоу-гоу вишневая (комн) 4 гран.(Гав)</t>
  </si>
  <si>
    <t>Бегонии серии F1 Гоу-Гоу – крупные выносливые растения, отвечающие самым высоким требованиям профессионального выращивания. Побеги мясистые, до 20-25 см, с большими листьями и огромными густомахровыми цветками вишневой окраски. Цветение обильное, с мая по октябрь. Предпочитают плодородные почвы со слегка кислой реакцией, светлые или слегка затененные помещения, температура в которых не должна превышать 23 °C. Хорошо отзывается на подкормку минеральными и органическими удобрениями. Полив умеренный, на солнечных местах обильный. Размножают клубневые бегонии семенами, клубнями и черенками.</t>
  </si>
  <si>
    <t>4601431017535</t>
  </si>
  <si>
    <t>Ц Бегония Гоу-гоу желтая (комн) 4 гран. (Гав)</t>
  </si>
  <si>
    <t>Бегонии серии F1 Гоу-Гоу – крупные выносливые растения, отвечающие самым высоким требованиям профессионального выращивания. Побеги мясистые, до 20-25 см, с большими листьями и огромными густомахровыми желтыми цветками. Цветение обильное, с мая по октябрь. Предпочитают плодородные почвы со слегка кислой реакцией, светлые или слегка затененные помещения, температура в которых не должна превышать 23 °C. Благодаря хорошо регулируемому росту рекомендуются для использования в качестве горшечного растения в оформлении интеръеров, садовых бордюров и массивов, контейнеров ильного выращивания и продаж в цветущем виде.</t>
  </si>
  <si>
    <t>4601431017528</t>
  </si>
  <si>
    <t>Ц Бегония Гоу-гоу розовая гран. (комн) 4 шт.(Гав)</t>
  </si>
  <si>
    <t>Бегонии серии F1 Гоу-Гоу – крупные выносливые растения, отвечающие самым высоким требованиям профессионального выращивания. Побеги мясистые, до 20-25 см, с большими листьями и огромными густомахровыми розовыми цветками. Цветение обильное, с мая по октябрь. Предпочитают плодородные почвы со слегка кислой реакцией, светлые или слегка затененные помещения, температура в которых не должна превышать 23 °C. Благодаря хорошо регулируемому росту рекомендуются для использования в качестве горшечного растения в оформлении интеръеров, садовых бордюров и массивов, контейнеров и подвесных кашпо, профессионального выращивания и продаж в цветущем виде.</t>
  </si>
  <si>
    <t>4601431099333</t>
  </si>
  <si>
    <t>Ц Бегония Клубничный фонтан (комн) 4 гран.(Гав)</t>
  </si>
  <si>
    <t>Великолепные крупные бегонии, отвечающие самым высоким требованиям профессионального выращивания. Побеги мясистые, до 20-25 см, с большими листьями и огромными густомахровыми цветками клубничной окраски с белым ободком по краю. Цветение обильное, с мая по октябрь. Предпочитают плодородные почвы со слегка кислой реакцией, светлые или слегка затененные помещения, температура в которых не должна превышать 23°С. Благодаря хорошо регулируемому росту рекомендуются для использования в качестве горшечного растения в оформлении интерьеров, садовых бордюров и массивов, контейнеров и подвесных кашпо, профессионального выращивания и продаж в цветущем виде.</t>
  </si>
  <si>
    <t>4601431030152</t>
  </si>
  <si>
    <t>Ц Бегония Нон-стоп Скарлет 4 шт. (Гав)</t>
  </si>
  <si>
    <t>Бегонии серии F1 Нон-стоп – мощные выравненные растения, отвечающие самым высоким требованиям профессионального выращивания. Побеги мясистые, длиной до 20-25 см. Красивый акцент — бронзово-красные листья, обрамляющие огромные, супермахровые цветки ярко-красного цвета. Цветение обильное и продолжительное, с мая по октябрь. Предпочитают плодородные почвы со слегка кислой реакцией, светлые или слегка затененные помещения, температура в которых не должна превышать 23 °C. Благодаря хорошо регулируемому росту рекомендуются для использования в качестве горшечного растения в оформлении интеръеров, садовых бордюров и массивов, контейнеров.</t>
  </si>
  <si>
    <t>4601431084056</t>
  </si>
  <si>
    <t>Ц Бегония Розовый фонтан F1 клубневая гранул. 4 шт. (Гав)</t>
  </si>
  <si>
    <t>Великолепные крупные бегонии, отвечающие самым высоким требованиям профессионального выращивания. Побеги мясистые, до 20-25 см,  с большими листьями и огромными густомахровыми розовыми цветками. Цветение обильное, с мая по октябрь. Предпочитают плодородные почвы со слегка кислой реакцией, светлые или слегка затененные помещения, температура в которых не должна превышать 23°C. Полив умеренный, на солнечных местах обильный. Размножают клубневые бегонии семенами, клубнями и черенками. Самый эффективный способ размножения – семенной.</t>
  </si>
  <si>
    <t>4601431078437</t>
  </si>
  <si>
    <t>Ц Бегония Фортуна Персиковая (комн) 4 гран. (Гав)</t>
  </si>
  <si>
    <t>Растение компактное, побеги мясистые, длиной до 20 см. На коротких прочных цветоносах распускаются очаровательные супермахровые цветки (5-7 см) персикового оттенка. Цветение продолжительное, обильное, с мая по октябрь.</t>
  </si>
  <si>
    <t>4601431026162</t>
  </si>
  <si>
    <t>Ц Брахикома Нега иберисолистная 0,02 гр. (Гав)</t>
  </si>
  <si>
    <t>Однолетник высотой 25-30 см. Сильноветвистое растение с изящными листьями и звездчатыми соцветиями-корзинками диаметром 3-4 см. Цветки голубые, розовые, белые, фиолетовые и синие. Обильно цветет с середины июня по октябрь. Предпочитает плодородные, хорошо дренированные почвы и солнечные места. Посев на рассаду проводят в марте в ящики с легким песчаным грунтом. Семена слегка вдавливают в почву, не присыпая землей. Посадочную емкость накрывают стеклом и ставят в освещенное место. При температуре +20 °С всходы появляются на 8-12 день. Сеянцы пикируют в фазе 2-3 настоящих листьев. Рассаду высаживают в мае по схеме 15-20 см. Для лучшего ветвления верхушки молодых растений прищипывают. Применяется для оформления клумб, рабаток, бордюров, альпийских горок, как горшечная культура.</t>
  </si>
  <si>
    <t>4601431052307</t>
  </si>
  <si>
    <t>Ц Бругмансия Аромагия Желтая (комн) 3 шт. (Гав)</t>
  </si>
  <si>
    <t>Мощное, очень красивое растение с пышным цветением из семейства Пасленовые. В умеренных широтах вырастает до 2 м. Гигантские трубчато-колокольчатые цветки золотистой окраски достигают в длину до 30 см, в диаметре до 15 см, обладают сильным приятным ароматом, особенно в ночное время. Листья яйцевидные, достаточно крупные, длиной 20-30 см, ярко-зеленого цвета. Бругмансия хорошо переносит заморозки до -5С°, прекрасно подойдет для выращивания в кадках, которые зимой можно разместить в большом светлом помещении или зимнем саду.</t>
  </si>
  <si>
    <t>4601431051690</t>
  </si>
  <si>
    <t>Ц Бругмансия Аромагия Розовая (комн) 3 шт. (Гав)</t>
  </si>
  <si>
    <t>Мощное, очень красивое пышно цветущее растение из семейства Пасленовые. В умеренных широтах вырастает до 2 м. Тот, кто однажды увидит эту красавицу во время цветения, просто не сможет не влюбиться в неё. Гигантские трубчато-колокольчатые цветки достигают в длину до 30 см и в диаметре до 15 см, обладают сильным приятным ароматом, особенно в ночное время. Листья яйцевидные, достаточно крупные, длиной 20-30 см, ярко-зеленого цвета. Бругмансия хорошо переносит заморозки до -5С°, прекрасно подойдет для выращивания в кадках, которые зимой можно разместить в большом светлом помещении или зимнем саду.</t>
  </si>
  <si>
    <t>4601431108820</t>
  </si>
  <si>
    <t>Ц Василек Морозные кружева, смесь 0,2 г (Гав)</t>
  </si>
  <si>
    <t>Яркая смесь с цветочной фантазией морозных кружев! Махровые цветки различных оттенков, тонкая белая кайма по краю создает впечатление морозного инея на лепестках. Диаметр цветов 4-5 см. Высота растения до 30 см. Цветет с июня до заморозков.</t>
  </si>
  <si>
    <t>4601431015135</t>
  </si>
  <si>
    <t>Ц Вербена низкая Нарядный бордюр 0,05 гр.(Гав)</t>
  </si>
  <si>
    <t>Растение высотой 25 см, культивируется, как однолетник (семейство Вербеновые). Цветет с июля по сентябрь. Цветки разнообразной окраски, собраны в соцветия диаметром 7-8 см, имеют приятный запах.</t>
  </si>
  <si>
    <t>4601431003644</t>
  </si>
  <si>
    <t>Ц Вербена Романс, смесь 0,1гр. (Гав)</t>
  </si>
  <si>
    <t>Растение высотой 45 см, культивируемое как однолетник (семейство Вербеновые). Цветет с июля по сентябрь. Цветки разнообразной окраски, собраны в соцветия диаметром 7-8 см, имеют приятный запах. Светолюбива и холодостойка, предпочитает рыхлые плодородные почвы.</t>
  </si>
  <si>
    <t>4601431043695</t>
  </si>
  <si>
    <t>Ц Виола Барон Красный Витрокка 5 шт. (Гав)</t>
  </si>
  <si>
    <t>Восхитительная серия крупноцветковой гибридной виолы, благодаря необычным оттенкам станет центральным украшением балкона, или любого садового пространства. Цветет обильно и продолжительно с мая по сентябрь. Цветки красно-желтые с темно-бардовым глазком, диаметром 6 см. Растение влаголюбивое, холодостойкое, хорошо растет на солнце и в полутени. Используют для посадки на клумбы, в рабатки, балконные ящики и садовые вазы.</t>
  </si>
  <si>
    <t>4601431043718</t>
  </si>
  <si>
    <t>Ц Виола Барон Пурпурный Витрокка 5 шт. (Гав)</t>
  </si>
  <si>
    <t>Восхитительная серия крупноцветковой гибридной виолы, благодаря необычным оттенкам станет центральным украшением балкона, или любого садового пространства. Цветет обильно и продолжительно с мая по сентябрь. Цветки фиолетово-желтые с темным центром, диаметром 6 см. Растение влаголюбивое, холодостойкое, хорошо растет на солнце и в полутени. Для получения растений, цветущих в год посева, семена высевают на рассаду в феврале-марте. Всходы появляются через 5-7 дней. В открытый грунт рассаду высаживают в конце апреля-начале мая на расстоянии 20 см. Хорошо переносят пересадку в цветущем состоянии. При посеве в открытый грунт в июне-июле, цветение наступает во второй год. Используют для посадки на клумбы, в рабатки, балконные ящики и садовые вазы.</t>
  </si>
  <si>
    <t>4601431107878</t>
  </si>
  <si>
    <t>Ц Виола Барон Сиреневый F1 Витрокка 5 шт. (Гав)</t>
  </si>
  <si>
    <t>Цветет обильно и продолжительно, с мая по сентябрь. Цветки сочетают красивый рисунок темных и светлых сиреневых оттенков с ярким желтым глазком. Диаметр цветов 6 см. Растение влаголюбивое, холодостойкое, хорошо растет на солнце и в полутени.</t>
  </si>
  <si>
    <t>4601431107960</t>
  </si>
  <si>
    <t>Ц Виола Великолепие розовое 5 шт. (Гав)</t>
  </si>
  <si>
    <t>Компактные кустики обильно украшены нежными и трогательными цветочками восхитительных розовых  насыщенных тонов, глядя на которые невозможно пройти мимо. Такое яркое пятно изящных соцветий подарит истинное удовольствие от созерцания необыкновенной красоты с мая до поздней осени.</t>
  </si>
  <si>
    <t>4601431045934</t>
  </si>
  <si>
    <t>Ц Виола Северное сияние F1 Виттрокка 5 шт. (Гав)</t>
  </si>
  <si>
    <t>Обворожительный гибрид крупноцветковой виолы, получивший признание на международной выставке Fleuroseleсt. Образует кустики высотой 15 см и диаметром 20 см. Рано зацветает крупными цветками перламутровой (бело-розовой) окраски. Растение влаголюбивое, холодостойкое, хорошо растет на солнце и в полутени. Для получения растений, цветущих в год посева, семена высевают на рассаду в феврале-марте. Всходы появляются через 5-7 дней. В открытый грунт рассаду высаживают в конце апреля-начале мая на расстоянии 20 см. Хорошо переносят пересадку в цветущем состоянии. При посеве в открытый грунт в июне-июле, цветение наступает во второй год. Используют для посадки на клумбы, в рабатки, балконные ящики и садовые вазы.</t>
  </si>
  <si>
    <t>4601431098404</t>
  </si>
  <si>
    <t>Ц Виола Синий мотылек рогатая 5 шт. (Гав)</t>
  </si>
  <si>
    <t>Обворожительная, удивительно-воздушная виола рогатая идеально подходит для создания цветочного ковра в саду, для выращивания на балконе или подоконнике. Компактный кустик буквально усыпан крупными цветками лавандово-сиреневой окраски с более темным размытым центром, с тонким нежным ароматом. Благодаря раннему, обильному и непрерывному цветению (с мая по сентябрь) на кустике распускается до 60 цветков. Предпочитает легкую почву. Размножается семенами и делением куста.</t>
  </si>
  <si>
    <t>4601431047259</t>
  </si>
  <si>
    <t>Ц Виола Флоренция Витрокка 5 шт. (Гав)</t>
  </si>
  <si>
    <t>Потрясающая по красоте крупноцветковая махровая виола из серии «F1 Фламенко»! Элегантные цветки бархатного темно-фиолетового оттенка в сочетании с белой каймой по волнистому краю лепестков создают эффект неповторимого шика. Истинные ценители прекрасного, безусловно, оценят такое изысканное украшение для балкона, садовых ваз, клумб и рабаток. Цветет обильно и продолжительно с мая по сентябрь. Растение влаголюбивое, холодостойкое, хорошо растет на солнце и в полутени</t>
  </si>
  <si>
    <t>4601431005747</t>
  </si>
  <si>
    <t>Ц Гацания Триада, смесь  0,05г (Гав)</t>
  </si>
  <si>
    <t>Свето- и теплолюбивое растение высотой 20-30 см. Имеет прикорневую розетку листьев, из которой появляются изящные соцветия, очень напоминающие ромашку со слегка отогнутыми лепестками, имеющие разнообразную окраску. Соцветия открыты только в солнечную погоду. Семена высевают на рассаду в начале апреля или в открытый грунт в мае.</t>
  </si>
  <si>
    <t>4601431098695</t>
  </si>
  <si>
    <t>Ц Гвоздика садовая Шабо Розалия 0,05 гр (Гав)</t>
  </si>
  <si>
    <t>Гвоздика очень красивое растение, которое удивительным образом сочетает прелестное женское обаяние в лепестках, подобных кружевным юбкам танцовщиц фламенко, и символику мужества храбрых воинов. Цветки необыкновенно душистые, махровые, насыщенно-розовых тонов, диаметром 6-8 см. Растения прямостоячие, высотой 50 см. Семена в январе-начале февраля сеют в ящики, а в мае высаживают на постоянное место.</t>
  </si>
  <si>
    <t>4601431005778</t>
  </si>
  <si>
    <t>Ц Гелиопсис Золотые шары 0,2гр.(Гав)</t>
  </si>
  <si>
    <t>Растение многолетнее. Стебли прямые, ветвистые, до 120 см высотой, заметно одревесневающие. Корзинки 6-7 см в диаметре. Язычковые цветки золотисто-желтые, трубчатые - желтые. Местоположение солнечное, защищенное от сильных ветров. Почвы предпочитает плодородные, суглинистые, некислые, без застоя воды. Высевают в грунт весной или в течение всего лета и ранней осени. Зацветает на второй год после посева. Цветение продолжительное, обильное, до морозов. Хорошо стоит в срезке. Семена гелиопсиса лучше всего прорастают при температуре 20 град. Деление растений проводят каждые 4-6 лет.</t>
  </si>
  <si>
    <t>4601431114395</t>
  </si>
  <si>
    <t>Ц Гелиотроп Марина 0,03 гр. (Гав)</t>
  </si>
  <si>
    <t>Красивое декоративное растение высотой до 25 см, в условиях средней полосы выращивается как однолетник. Листья гелиотропа темно-зеленые, овальные с пурпурным оттенком поочередно располагаются на коротких черешках, из-за чего растение имеет довольно пышную форму. Цветки мелкие с приятным душистым ароматом, сине- фиолетовые, собраны щитковидные соцветия диаметром 10-15 см. Зацветает гелиотроп в июне, цветет обильно и продолжительно до заморозков. Растение тепло и светолюбиво любит хорошо освещенные солнцем участки. Прекрасно подходит как горшечное растение для балконов и открытых террас, для различных клумб в качестве бордюрного растения, хорошо сочетается с бархатцами, сальвией, садовой геранью, петуниями.</t>
  </si>
  <si>
    <t>4601431005785</t>
  </si>
  <si>
    <t>Ц Гелихризум Великолепный, смесь 0,1 гр.(Гав)</t>
  </si>
  <si>
    <t>Травянистое растение семейства Астровые. Кусты слегка раскидистые, достигают 60-80 см высоты. Цветки собраны в соцветия — корзинки, имеющие очень яркие и многочисленные листочки обертки белой, розовой, желтой, оранжевой или красной окраски разнообразных оттенков. Цветет обильно с июля до заморозков. Предпочитает открытые солнечные места.Размножают семенами, которые высевают в конце марта — начале апреля на рассаду. Всходы появляются через неделю после посева. На постоянное место рассаду высаживают после весенних заморозков, выдерживая расстояние между растениями 25-30 см. Используется в озеленении (клумбах, рабатках), а также на срезку в качестве лучшего сухоцвета.</t>
  </si>
  <si>
    <t>4601431043251</t>
  </si>
  <si>
    <t>Ц Гербера Лучики 0,05 гр.  (Гав)</t>
  </si>
  <si>
    <t>Очень жизнерадостное и яркое многолетнее растение высотой до 50 см для выращивания в комнатных условиях или на балконе. Образует укороченные стебли с розетками прикорневых удлиненных листьев, над которыми возвышаются опушенные цветоносы с нарядными корзинками ромашковидных соцветий. Гербера очень свето - и теплолюбива, предпочитает слабокислые почвы, регулярный умеренный полив в период активного роста и цветения.</t>
  </si>
  <si>
    <t>4601431031609</t>
  </si>
  <si>
    <t>Ц Гранат карликовый Карфаген 5 шт. (Гав)</t>
  </si>
  <si>
    <t>Гранат — листопадный субропический кустарник. Растение неприхотливое, высотой до 60-100 см, с небольшими изумрудными эллиптическими листями. Цветет с мая по август красными цветками до 2,5-4 см в диаметре. Плоды диаметром до 5-7 см имеют многочисленные семена, окруженные сочной оболочкой. Сок приятный, кисло-сладкий. Предпочитает прямое солнце на окнах южной, юго-западной и западной экспозиции (летом желательно притенение), опрыскивания, регулярный полив водой комнатной температуры. При чрезмерном поливе могут растрескиваться плоды. По окончании весенних заморозков растение можно вынести в сад в полутень до осени. Зимой гранат сбрасывает листья. В этом состоянии его поливают очень редко и содержат при температуре 5-10 °C</t>
  </si>
  <si>
    <t>4601431030220</t>
  </si>
  <si>
    <t>Ц Декоративная смесь Ароматы лета (одн) 0,4 гр. (Гав)</t>
  </si>
  <si>
    <t>Оригинальная однолетняя цветочная композиция наполнит сад новым цветочным ароматом, который отразится на вашем эмоциональном состоянии. Роскошный запах душистого горошка перекликается с умиротворяющими тонами маттиолы, резеды и других растений, бодрящими нотками бархатцев и календул, сопровождается восточными оттенками базилика и фенхеля. Сорта цветов обильно и дружно цветут до осенних холодов.</t>
  </si>
  <si>
    <t>4601431026223</t>
  </si>
  <si>
    <t>Ц Декоративная смесь одн. Кудряшка (одн) 2,0 гр. (Гав)</t>
  </si>
  <si>
    <t>Изобилие цветов на вашем балконе в виде нарядных вертикальных ширм до 2-3 м, объемных ампелей и ниспадающих каскадов. Состоит из разнообразных видов однолетних вьющихся растений (душистый горошек, ипомея пурпурная, кобея лазающая, вьюнок трехцветный и др.).  Растения нетребовательны к условиям выращивания, неприхотливы и легки в уходе, предпочитает солнечные места, выносит небольшое затенение</t>
  </si>
  <si>
    <t>4601431030237</t>
  </si>
  <si>
    <t>Ц Декоративная смесь Рокарий (одн) 0,4 гр. (Гав)</t>
  </si>
  <si>
    <t>Сортосмесь однолетних растений высотой 15-50 см. Предназначена для яркого оформления альпийских горок и каменистых участков в саду. Несколько ярких цветовых акцентов, — и ваш любимый уголок преобразится в великолепный пейзаж. Мерцающие иберисы, нежные брахикомы, солнечные тона бархатцев, яркие и роскошные формы карликовых георгин и эффектных амарантов привнесут эмоциональную окраску и добавят ему привлекательности. Будет радовать длительным и нарядным цветением с начала лета до осенних холодов</t>
  </si>
  <si>
    <t>4601431003224</t>
  </si>
  <si>
    <t>Ц Дельфиниум Летнее небо (мн) 0,1гр. (Гав)</t>
  </si>
  <si>
    <t>Многолетнее растение семейства Лютиковые, высотой до 2 м с плотными кистевидными соцветиями голубых с белым глазком цветков. Цветет в июне-июле, вторичное цветение - в августе-сентябре, отцветшие соцветия обрезают для полноценного второго цветения. Хорошо растет на освещенных участках с легким затенением в полуденные часы. Предпочитает плодородные суглинистые и супесчаные, умеренно влажные почвы. Семена высевают осенью в открытый грунт или в марте на рассаду, в мае растения высаживают на постоянное место с расстоянием 35-40 см. Используются в групповых и одиночных посадках, для получения срезки. В срезанном виде стоят в воде до 10-12 дней. Все части дельфиниума ядовиты.</t>
  </si>
  <si>
    <t>4601431016538</t>
  </si>
  <si>
    <t>Ц Жакаранда Дельта (комн) 3 шт. (Гав)</t>
  </si>
  <si>
    <t>Это элегантное растение из семейства Бигнониевые в комнатных условиях выращивают как декоративно-лиственное. Особую декоративную ценность представляют нежные светло-зеленые ажурные листья, похожие на листья папоротника или мимозы, длиной до 45 см. Их красота вызывает неподдельное восхищение. При правильном уходе жакаранда достигает высоты 2 м. Растение любит яркий свет и отлично развивается в теплой солнечной комнате. Ей требуется умеренный полив теплой мягкой водой с весны до осени, ограниченный зимой, только по мере высыхания верхнего слоя почвы, а также частое опрыскивание листьев. В период отдыха растение ставят в светлое помещение с температурой воздуха около 15-16 °C. Зимой из-за недостатка света жакаранда может сбросить листья, весной листва полностью восстанавливается. Используют для озеленения интерьера, размещая в хорошо освещенных местах в комнатах, холлах, вестибюлях.</t>
  </si>
  <si>
    <t>4601431016552</t>
  </si>
  <si>
    <t>Ц Кактус Непоседа, Эхиноцереус смесь 0,05 гр. (Гав)</t>
  </si>
  <si>
    <t>Эти суккулентные растения могут стать гордостью многих коллекционеров: удивительно разнообразные, выносливые, легко приспосабливаются к различным условиям, хорошо растут и цветут. Форма растений шаровидная, плоская, цилиндрическая и др., высота 5-50 см. Кактусы запасают воду в своих утолщенных стеблях, снабженных многочисленными колючками: шиловидными, крючковатыми, волосовидными и щетиновидными. Цветки необычно красивы, разнообразных окрасок 1-15 см в диаметре, образуются на верхушке или у основания стебля. Светолюбивы и теплолюбивы, прекрасно развиваются на окнах южной экспозиции, весьма просты в уходе.</t>
  </si>
  <si>
    <t>4601431028494</t>
  </si>
  <si>
    <t>Ц Календула Панночка 0,3 г Уд. с.(Гав)</t>
  </si>
  <si>
    <t>Популярное, неприхотливое растение из семейства Астровые, высотой 50-60 см. Соцветия уникальной формы с красиво изогнутыми лепестками, ярко-оранжевые с красными кончиками, диаметром 6-7 см. Обильно и продолжительно цветет, особенно если своевременно удалять отцветшие соцветия.</t>
  </si>
  <si>
    <t>4601431002418</t>
  </si>
  <si>
    <t>Ц Календула Розовый сюрприз 0,3 гр.(Гав)</t>
  </si>
  <si>
    <t>Очень популярный неприхотливый, холодостойкий однолетник семейства Сложноцветные. Светолюбивое и засухоустойчивое растение высотой 50-60 см, ветвистое, компактное. Соцветия крупные, 7-10 см диаметром, густомахровые, черепитчатые, перламутрово-розовой окраски. Сроки посева растянуты с апреля до октября. Для ускорения цветения сеют в апреле на рассаду, в мае - прямо в грунт гнездами на расстоянии 15-25 см; в течение лета - для более позднего цветения. Под зиму высевают для цветения в июне. Цветет через 45-50 дней после появления всходов. Легко размножается самосевом. Календулу широко используют в озеленении и на срез, в лекарственных и пищевых целях.</t>
  </si>
  <si>
    <t>4601431005600</t>
  </si>
  <si>
    <t>Ц Календула Точ оф Ред 0,2 гр.(Гав)</t>
  </si>
  <si>
    <t>Популярное неприхотливое растение из семейства Астровых. Цветет с июня по сентябрь. Цветение обильное и продолжительное, особенно при удалении отцветших соцветий. Соцветия крупные, желтой, оранжевой, розоватой окраски с темным центром. Календула светолюбива и предпочитает легкие почвы, холодостойка - выдерживает до -5°C. Размножают прямым посевом в грунт.</t>
  </si>
  <si>
    <t>4601431042278</t>
  </si>
  <si>
    <t>Ц Камнеломка Арендса Розовый ковер* 0,01 г  (мн) (Гав)</t>
  </si>
  <si>
    <t>Многолетнее невысокое растение, до 15 см высотой, с розеткой округлых плотных темно-зеленых листьев, усыпанных множеством пурпурных цветков на тонких цветоножках. Декоративно с начала и до конца вегетации (середина апреля — середина октября). Цветет от июля до августа. Растение холодостойкое, размножается семенами. Семена желательно высевать под зиму, так как при весеннем посеве требуется длительная стратификация.</t>
  </si>
  <si>
    <t>4601431061149</t>
  </si>
  <si>
    <t>Ц Катарантус Пацифика ХР Кренберри 5 шт.(Гав)</t>
  </si>
  <si>
    <t>Крупноцветковое, компактное, сильноветвистое растение, не требует формировки, высотой 25-35 см, диаметром 15-20 см. Цветки насыщенно красные, диаметром 5 см. Высокоустойчив к жаре и засухе. Выращивают на клумбах и в контейнерах.</t>
  </si>
  <si>
    <t>4601431014046</t>
  </si>
  <si>
    <t>Ц Клеома Матильда колючая, смесь 0,3 г (Гав)</t>
  </si>
  <si>
    <t>Однолетнее полукустарниковое растения высотой около 100 см. Цветки очень своеобразные, похожие на паучка - четыре лепестка венчика расположены с одной стороны цветка, а с другой - тонкие и длинные тычинки и столбик. Цветки собраны в конечную многоцветковую кисть,  распускаются снизу вверх и кисть при этом постепенно вытягивается. Из отцветших цветков образуются направленные в стороны вытянутые коробочки на длинных плодоножках. Растение свето- и теплолюбивое, засухоустойчивое, не переносит застоя воды. Рекомендуется для оригинальных цветочных композиций.</t>
  </si>
  <si>
    <t>4601431003835</t>
  </si>
  <si>
    <t>Ц Клещевина Красная 5 шт.(Гав)</t>
  </si>
  <si>
    <t>Декоративное растение из семейства Мальвовые высотой до 1,5-2,0 м. Ценится за крупные красивые листья темно-красной окраски. Теплолюбива, светолюбива и довольно засухоустойчива, предпочитает участки с плодородной и хорошо обработанной почвой. Выращивается рассадным способом. Посев проводят в начале апреля в горшочки по 2-3 шт. Всходы появляются через 10-12 дней. Рассаду высаживают в открытый грунт в начале июня на расстоянии 50-60 см. Используется в оформлении участка.</t>
  </si>
  <si>
    <t>4601431003149</t>
  </si>
  <si>
    <t>Ц Кобея Каландо Лазающая 5шт.(Гав)</t>
  </si>
  <si>
    <t>Растение для вертикального озеленения из семейства Синюховые, культивируется как однолетник. Цветение начинается в июле и продолжается до заморозков. Цветки сине-фиолетовые, колокольчатые, 7-8 см в диаметре, с длинными тычинками и пестиком, выходящими наружу. Теплолюбива, предпочитает солнечные, хорошо удобренные участки. Выращивается рассадным способом.</t>
  </si>
  <si>
    <t>4601431016583</t>
  </si>
  <si>
    <t>Ц Кобея Свадебные колокола Лазающая 5шт.(Гав)</t>
  </si>
  <si>
    <t>Растение для вертикального озеленения из семейства Синюховые, культивируется как однолетник. Цветение начинается в июле и продолжается до заморозков. Цветки белые, колокольчатые, 7-8 см в диаметре, с длинными тычинками и пестиком, выходящими наружу. Теплолюбива, предпочитает солнечные, хорошо удобренные участки. Выращивается рассадным способом. Посев проводят в конце февраля-марте. Используется для озеленения беседок, балконов, оград.</t>
  </si>
  <si>
    <t>4601431061163</t>
  </si>
  <si>
    <t>Ц Колеус Визард Вельвет ред 4 шт.(Гав)</t>
  </si>
  <si>
    <t>Многолетнее растение из семейства Губоцветные, выращиваемое в открытом грунте как однолетнее. Компактный кустик, высотой 30-35 см, диаметром 25-30 см. Листья красно-бордовые овальные, по краям крупнозубчатые с салатовой каймой, напоминающие по форме листья крапивы. Колеус предпочитает солнечные или слегка притененные места с богатой, легкой, кисловатой почвой. Используют для оформления бордюров, высаживают массивами, комбинируя с другими низкорослыми однолетниками.</t>
  </si>
  <si>
    <t>4601431079892</t>
  </si>
  <si>
    <t>Ц Колеус Тэррено румяный 4 шт. (Гав)</t>
  </si>
  <si>
    <t>Колеусы «Тэррено» это компактные хорошо облиственные растения высотой 30-35 см с небольшими бархатистыми листьями ярких контрастных оттенков. Серия подходит для профессионального и любительского озеленения, рекомендуется для оформления бордюров, посадки массивами в группе с другими низкорослыми однолетниками. Культура предпочитает солнечные или слегка притененные места с богатой, легкой, кисловатой почвой. В открытом грунте колеус выращивают как однолетнее растение. Осенью кусты можно пересадить в горшочки и перенести в комнату.</t>
  </si>
  <si>
    <t>4601431127401</t>
  </si>
  <si>
    <t>Ц Космея Корзиночка с малиной 0,3гр.(Гав)</t>
  </si>
  <si>
    <t>Травянистое однолетнее растение. Ярко-розовые чарующие бутоны этой воздушной культуры украсят собой любой сад. Темно-малиновое пятно в центре соцветия добавляет яркий штрих к цветочной композиции. Цветки необычной формы со сросшимися нижними лепестками похожи на маленькие корзиночки. Кустики высотой 120 см, хорошо стоят в срезанном виде, украсят клумбы в романтическом стиле, миксбордеры, задекорирует ограждения и стены садовых построек.</t>
  </si>
  <si>
    <t>4601431131569</t>
  </si>
  <si>
    <t>Ц Космея Юля карликовая 0,2 гр.(Гав)</t>
  </si>
  <si>
    <t>Однолетнее, низкорослое, травянистое растение. Стебли густоветвистые, прямостоячие, 40-50 см высотой, первые цветки появляются на высоте 30 см. Листья дважды или трижды перисто-рассеченные с широкими, ланцетовидными, заостренными долями. Полу-махровые цветки различных окрасок лимонные, желтые, оранжевые, красные. Цвет рано и обильно все лето. Холодостойка и светолюбива, относительно засухоустойчива. К почвам нетребовательна, предпочитает рыхлые, умеренно плодородные почвы. Дает обильный самосев. Выращивают прямым посевом в грунт весной, либо под зиму.</t>
  </si>
  <si>
    <t>4601431028982</t>
  </si>
  <si>
    <t>Ц Лаватера Новый свет 0,3 гр. Уд.с. (Гав)</t>
  </si>
  <si>
    <t>Мощное ветвистое, очень неприхотливое растение семейства Мальвовые высотой до 120 см. Цветение обильное и продолжительное, с конца июня до поздних заморозков. Цветки воронковидные крупные, до 10 см в диаметре, снежно-белой окраски. Растение холодостойкое, светолюбивое и засухоустойчивое, к почвам нетребовательное.</t>
  </si>
  <si>
    <t>4601431006133</t>
  </si>
  <si>
    <t>Ц Лен Ясные глазки, крупноцв.  0,2 гр.(Гав)</t>
  </si>
  <si>
    <t>Неприхотливое растение из семейства Льновые высотой 50 см. Цветет в июне-августе. Цветки диаметром 3-4 см, белые с красным центром с шелковистыми лепестками, собраны в эффектные соцветия. Холодостоек, неприхотлив, но предпочитает солнечные участки с легкими почвами без застоя воды.</t>
  </si>
  <si>
    <t>4601431018877</t>
  </si>
  <si>
    <t>Ц Лимониум Абрикос  0,05 гр. (Гав)</t>
  </si>
  <si>
    <t>Травянистое однолетнее растение семейства Свинчатковые. Стебли высотой до 60 см, прямостоячие, в верхней части ветвистые. Цветки до 1 см в диаметре, абрикосового тона, собраны в соцветия. Цветение обильное с июля до заморозков. Посев на рассаду в начале апреля, прямой посев в открытый грунт в мае. Всходы появляются через 10-12 дней. Пикировать сеянцы лучше в горшочки, так как рассада с открытой корневой системой приживается плохо. На постоянное место высаживают в мае, на расстоянии 20-25 см друг от друга.  Лимониум можно располагать небольшими группами в миксбордерах, рокариях. Для сушки цветоносы срезают во время полного цветения, но до того момента, как начнут блекнуть нижние цветки. Идеален для создания зимних цветочных композиций и букетов.</t>
  </si>
  <si>
    <t>4601431003378</t>
  </si>
  <si>
    <t>Ц Лимониум Борнтальский, выемчатый смесь 0,1 гр.  (Гав)</t>
  </si>
  <si>
    <t>Растение из семейства Свинчатковые, культивируемое как однолетник высотой 50-60 см. Цветет с июня по сентябрь. Цветки собраны в щитковидные соцветия длиной до 10-12 см. Окраска цветков очень разнообразна - оранжевая, темно-синяя, желтая, белая, розовая. Предпочитает открытые участки с легкой водопроницаемой, удобренной почвой. Выращивают рассадным способом. Семена высевают в апреле.</t>
  </si>
  <si>
    <t>4601431098596</t>
  </si>
  <si>
    <t>Ц Лимониум выемчатый Малиновое парфе* 0,05 г (Гав)</t>
  </si>
  <si>
    <t>Густая шапка ярких соцветий-облачков, как будто парящая над нежной зеленью — это лимониум (или кермек), вожделенная мечта многих садоводов. Очаровательный красавец не похож на другие цветы, растущие в наших садах, и выделяется своей оригинальной внешностью. Мелкие цветки собраны в соцветия невероятной карминно-розовой окраски будут украшать цветники длительное время, с июля до заморозков. Выращивают рассадным и безрассадным способом.</t>
  </si>
  <si>
    <t>4601431098619</t>
  </si>
  <si>
    <t>Ц Лобелия Синий кулон амп. (одн) 0,01 гр.(Гав)</t>
  </si>
  <si>
    <t>Лобелия ампельная — это идеальное красивоцветущее растение, которым можно украсить клумбу на все лето. Прекрасно вписывается в любой дизайн сада и хорошо соседствует с другими цветами, не требует особенного ухода, кроме посадки и полива. Будьте уверены — этот цветок станет настоящей королевой вашего сада и самым изысканным украшением участка. С июня по сентябрь распускается целое море мелких, воздушных, насыщенно-синей окраски цветков, продолжительность и обильность которых может увеличиваться, если своевременно удалять отцветшие соцветия. Выращивают рассадным способом.</t>
  </si>
  <si>
    <t>4601431017757</t>
  </si>
  <si>
    <t>Ц Лобулярия Королевский ковер 0,05 гр.(Гав)</t>
  </si>
  <si>
    <t>Однолетние растения из семейства крестоцветных. Кусты низкие, густоветвящиеся, компактные, высотой 8-12 см. Листья узколанцетные. Цветки мелкие, 3-4 мм в диаметре, собраны в кистевидные соцветия, с сильным запахом меда, сплошь покрывают кусты во время цветения. Окраска соцветий белая, розовая, лиловая, фиолетовая. Цветет лобулярия с июня до октября. Семена высевают в грунт в апреле-мае или в марте на рассаду. При температуре почвы 18° С всходы появляются на 14-20 день. Расстояние между растениями выдерживают 15-20 см. Возможен подзимний посев. К почвам нетребовательна, светолюбива, холодоустойчива. Не переносит избытка влаги и длительной засухи. Используют для широких ленточных цветников, массивов, бордюров, каменистых россыпей.</t>
  </si>
  <si>
    <t>4601431026353</t>
  </si>
  <si>
    <t>Ц Лобулярия Нота сердца 0,05 гр.(Гав)</t>
  </si>
  <si>
    <t>В озеленении балконов миниатюрная лобулярия пользуется заслуженной популярностью. Ее высаживают между крупными растениями для придания цветочному «ансамблю» необходимого объема. Кустики низкие, всего 10-12 см высотой, густоветвящиеся, с мелкими ланцетными листьями. Цветки мелкие, 3-4 мм в диаметре, собраны в соцветия красно-розового цвета, сплошь покрывают кусты во время цветения. Цветет с конца июня до октября. Светолюбива, на питательных почвах «жирует» в ущерб цветению, при засухе цветение прекращается. Посев на рассаду проводят в марте. Высаживают в балконные ящики в мае через 10-15 см. Удивительно сочетается со многими цветущими растениями. Удаление отцветших цветков продлевает ее цветение.</t>
  </si>
  <si>
    <t>4601431006126</t>
  </si>
  <si>
    <t>Ц Лобулярия Фиолетовая королева 0,05 гр.(Гав)</t>
  </si>
  <si>
    <t>Семейство Крестоцветные. Кусты низкие, густо ветвящиеся, компактные, высотой 10-12 см. Цветки мелкие, в кистевидном соцветии, сиреневые, с сильным запахом меда, сплошь покрывают кусты во время цветения. Цветет с конца июня до октября. Дает обильный самосев. Для получения дружных всходов семена необходимо стратифицировать при температуре +10оС. Семена высевают весной, в апреле-мае, в грунт. Всходы прореживают. К почвам нетребовательна, светолюбива, холодоустойчива. Используют для всех видов цветников. Прекрасный медонос</t>
  </si>
  <si>
    <t>4601431114692</t>
  </si>
  <si>
    <t>Ц Львиный зев Снежный барс (одн) 0,1 гр.(Гав)</t>
  </si>
  <si>
    <t>Декоративный и очень популярный в садоводстве многолетник, культивируется как однолетник. Цветение пышное и обильное с конца июня до самых поздних заморозков. Растения высотой 40-60 см. Белоснежные крупные цветки собраны в густые кистевидные соцветия, прекрасно смотрятся в групповых посадках, в цветниках, подходят для высококачественной срезки (львиный зев стоит в воде до двух недель). В уходе антирринум неприхотлив, к почвам не требователен, холодостоек, светолюбив в засушливый период нуждаются в поливе. Выращивают рассадным способом.</t>
  </si>
  <si>
    <t>4601431014718</t>
  </si>
  <si>
    <t>Ц Люпин Белое Пламя (мн) 0,5гр.(Гав)</t>
  </si>
  <si>
    <t>Красивоцветущий многолетник семейства бобовых, зацветает в июне. Цветоносы крепкие, мощные, вырастают до 100 см, формируют кремово-белые соцветия в виде роскошной кисти длиной 45 см, состоящие из ароматных цветков диаметром 2 см.</t>
  </si>
  <si>
    <t>4601431124929</t>
  </si>
  <si>
    <t>Ц Люпин Розовое Пламя (мн) 0,5 гр.(Гав)</t>
  </si>
  <si>
    <t>Многолетнее красивоцветущее растение семейства Бобовые Его высокие цветоносы (до 100 см) украшены эффектными пальчатыми листьями. Соцветие —розовая плотная многоцветковая кисть длиной до 45 см, цветки размером 2 см, многочисленные, душистые. Цветет с первых чисел июня в течение 30-40 дней. Используют люпины в групповых посадках большими массивами на дальнем плане, на газонах пред живой изгородью или вместе с другими многолетниками в смешанных рабатках.</t>
  </si>
  <si>
    <t>4601431015418</t>
  </si>
  <si>
    <t>Ц Малопа Красотка 0,05 гр.(Гав)</t>
  </si>
  <si>
    <t>Однолетние, травянистые растения семейства Мальвовых с мощным ветвистым прямостоячим стеблем высотой 90 см. Цветки крупные, диаметром 8 -10 см, воронковидной формы, одиночные, венчик состоит из 5 лепестков. Окраска цветков пурпурная, розовая, белая. Цветет обильно, с июля до заморозков, для продления цветения увядшие цветки удаляют. Нижние листья 3-лопастные, яйцевидные, верхние – округлые. Растение светолюбивое, холодостойкое, к почве и влаге нетребовательно. Семена высевают в конце апреля — начале мая в открытый грунт, сеянцы прореживают, оставляя между ними расстояние 30 - 40 см. Прекрасное растение для создания высоких групп. Особенно эффектна в посадках с табаком, календулой. Срезанные цветы долго сохраняют декоративность.</t>
  </si>
  <si>
    <t>4601431103368</t>
  </si>
  <si>
    <t>Ц Маммиллярия (Кактус) Бусинка 2 шт. (Гав)</t>
  </si>
  <si>
    <t>Маммиллярия является одним из самых распространенных кактусов, которые выращиваются в домашних условиях без особых усилий. Популярность данного комнатного цветка оправдана не только особенностями выращивания, но и тем, что он может стать удачным дополнением интерьера. Маммиллярия Снежная отличается сильным опушением и наличием маленьких сосочков на стебле, от которых прорастают небольшие колючки в виде волосинок. При надломе стебля или сосочка можно увидеть млечный сок, характерный для данного вида. Кактус шаровидный, диаметр стебля до 10 см, колючки желтого или светло-коричневого цвета. Цветки желтого окраса, достигающие 2 см в длину. Цветение наступает на третий год. Растение светолюбивое, предпочтение лучше отдать окнам на западе и востоке: будет обеспечено необходимым количеством света и не пострадает от ожогов. Летом цветок лучше вынести на балкон. Хорошо реагирует на жару, но зимой лучше дать передышку и поставить в прохладное (10-15оС) место. Размножают вегетативным способом и семенами.</t>
  </si>
  <si>
    <t>4601431113053</t>
  </si>
  <si>
    <t>Ц Маммиллярия (Кактус) Жемчужина 2 шт. (Гав)</t>
  </si>
  <si>
    <t>Маммиллярия один из распространенных кактусов и комнатных условиях выращивается без особых усилий. Не прихотливый суккулент удачно дополняет интерьер любого офиса и дома. В период цветения пустынный кактус удивляет яркими красками необычных, диковинных цветков. Растет медленно, густо покрыт колючками и шерстью в аксилах, эпидермис почти полностью скрыт. Стебель бочковидный, вытянутый с плоской, вдавленной макушкой высотой 10-15 см и 5-8 см в диаметре. Цветет, начиная с поздней весны. На макушке кактуса располагаются белые с розовыми прожилками цветки. Любит яркое освещение и прямые солнечные лучи. Во время зимнего покоя (оптимальная температура 8-10оС.), высота растения может уменьшаться, стимулируется цветение и продолжительность жизни кактуса. Размножают вегетативным способом (редко) и семенами.</t>
  </si>
  <si>
    <t>4601431103351</t>
  </si>
  <si>
    <t>Ц Маммиллярия (Кактус) Красотка 2 шт. (Гав)</t>
  </si>
  <si>
    <t>Маммиллярия белошерстная — медленно растущий, кустящийся кактус, так густо покрытый колючками и шерстью в аксилах, что эпидермис почти полностью скрыт. Стебель бочковидный, вытянутый с плоской, вдавленной макушкой 10-15 см высотой и 4-8 см в диаметре. Сосочки серо-зеленого цвета, твердые, расположены на стебле по спирали, без млечного сока. Цветет, начиная с поздней весны, очень маленькими (7-8 мм), звездчатыми цветками карминового, пурпурно-розового или розового цвета, расположенными на верхушке кактуса в виде венчика. Любит яркое освещение и прямые солнечные лучи. Зимний покой (оптимальная температура 8-10оС.), во время которого высота растения может уменьшаться, стимулирует цветение и продолжительность жизни кактуса. Размножают вегетативным способом (редко) и семенами.</t>
  </si>
  <si>
    <t>4601431116580</t>
  </si>
  <si>
    <t>Ц Маммиллярия (Кактус) Летиция 2 шт. (Гав)</t>
  </si>
  <si>
    <t>Отлично подойдет начинающим цветоводам, выращивание этого кактуса в домашних условиях не потребует особенных усилий и знаний. Неприхотливое растение хорошо дополнит интерьер любого офиса и дома. Стебель кактуса темно-зеленый, покрыт многочисленными белыми колючками, достигает 25-30 см в высоту и около 6 см в диаметре. Зацветает ранней весной. В период цветения у кактуса вокруг верхушки появляются многочисленные цветочки насыщенно розового цвета. Любит яркое освещение и прямые солнечные лучи. Во время зимнего покоя (оптимальная температура 8-10 оС.), таким образом стимулируется цветение и продолжительность жизни кактуса. Размножают вегетативным способом и семенами.</t>
  </si>
  <si>
    <t>4601431119048</t>
  </si>
  <si>
    <t>Ц Маммиллярия (Кактус) Мария 2 шт. (Гав)</t>
  </si>
  <si>
    <t>Кактус имеет круглую и удлиненную форму стебля с серебристым опушением, диаметром 5-6 см, высотой 8-10 см, темно-зеленого окраса. Колючки тонкие, бурые, с загнутым кончиком, длиной 8-10 мм. Поздней весной растение покрывается множеством нежно-розовых мелких воронковидных бутонов. Стебель растения у основания сильно разветвленный. Маммиллярия любит яркое освещение и прямые солнечные лучи, но, если цветок стоит на южном подоконнике, нужна небольшая тень или постоянное проветривание. Во время зимнего покоя (оптимальная температура 8-10оС), высота растения может уменьшаться. Пониженные температуры стимулирует цветение и продолжительность жизни кактуса. Размножают вегетативным способом (редко) и семенами</t>
  </si>
  <si>
    <t>4601431119055</t>
  </si>
  <si>
    <t>Ц Маммиллярия (Кактус) Мексиканские звезды 2 шт. (Гав)</t>
  </si>
  <si>
    <t>Среди огромного разнообразия культур удивительной красотой выделяются кактусы. Прекрасные «колючки» неприхотливы в выращивании и великолепны, когда цветут. Маммиллярия Камптотриха отличается своими нежными колокольчатыми белыми душистыми цветками, которые спрятались под густыми, волнисто изогнутыми, светло-желтыми, переплетающимися друг с другом колючками. Имеет полусферический стебель темно-зеленого цвета, высотой 10 см и диаметром 4-7 см, дающий много отростков в основании. Зацветает, ближе к осени, поэтому период покоя начинается немного позже, чем у других маммиллярий: с ноября по март. Любит яркое освещение и прямые солнечные лучи.</t>
  </si>
  <si>
    <t>4601431119062</t>
  </si>
  <si>
    <t>Ц Маммиллярия (Кактус) Сан пико 2 шт. (Гав)</t>
  </si>
  <si>
    <t>Маммиллярия Толука характеризуется эффектным шаровидным или цилиндрическим стеблем насыщенного зеленого окраса, высотой 10-20 см, который может ветвиться. Вся поверхность ствола обильно покрыта мягкими, крупными, конусовидными сосочками, из которых вырастают острые, тонкие колючки. На вершине кактуса располагается опушение, напоминающее снежную шапку, которое защищает от яркого солнца. Колючки вырастают по мере развития растения. Во второй половине весны появляются сочно-розовые колокольчатые цветки с атласными лепестками. Любит яркое рассеянное освещение, редкое увлажнение почвы, температуру воздуха +20-25оС, проветривание в летнюю жару. Зимний покой (температура +10-12оС и полив 1 раза в месяц) стимулирует цветение и продолжительность жизни кактуса. Размножают вегетативным способом (редко) и семенами.</t>
  </si>
  <si>
    <t>4601431014480</t>
  </si>
  <si>
    <t>Ц Маргаритка Веселые помпоны 0,02гр.(Гав)</t>
  </si>
  <si>
    <t>Неприхотливое, очень зимостойкое растение из семейства Астровые высотой 12 см. Цветет в апреле-июле, при хорошем уходе цветение продолжается до осени с перерывом в жаркий период сезона. Соцветия в виде плотных помпонов, 3 см в диаметре, белой, розовой, красной окраски. Хорошо растет на любых почвах. Светолюбивое растение, но хорошо выдерживает легкое затенение. Семена высевают в конце июня - начале июля в открытый грунт, всходы появляются через 7-10 дней. Маргаритка прекрасно подходит для выращивания на клумбах, рабатках и в бордюрах, а также в горшках и балконных ящиках.</t>
  </si>
  <si>
    <t>4601431014466</t>
  </si>
  <si>
    <t>Ц Маргаритка Весна заснеженная 0,02 гр.(Гав)</t>
  </si>
  <si>
    <t>Неприхотливое,  очень зимостойкое растение из семейства Астровые высотой 12 см. Розетка листьев компактная. Соцветия необычно крупные, до  6 см, изящные, «лучистые», белой окраски. Цветет в апреле-июле, при хорошем уходе цветение продолжается до осени с перерывом в жаркий период сезона. Хорошо растет на любых почвах. Светолюбивое растение, но хорошо выдерживает легкое затенение. Семена высевают в конце июня - начале июля в открытый грунт, всходы появляются через 7-10 дней. Маргаритка прекрасно подходит для выращивания на клумбах, рабатках и в бордюрах, а также в горшках и балконных ящиках.</t>
  </si>
  <si>
    <t>4601431014442</t>
  </si>
  <si>
    <t>Ц Маргаритка Весна розовая ранняя 0,02 гр.(Гав)</t>
  </si>
  <si>
    <t>Неприхотливое, очень зимостойкое растение из семейства Астровые высотой 12 см. Розетка листьев компактная. Соцветия необычно крупные, до 6 см, изящные, «лучистые», розовой окраски. Цветет в апреле-июле.</t>
  </si>
  <si>
    <t>4601431014473</t>
  </si>
  <si>
    <t>Ц Маргаритка Весна смесь 0,02 гр.(Гав)</t>
  </si>
  <si>
    <t>4601431028760</t>
  </si>
  <si>
    <t>Ц Маргаритка Парео, смесь 0,02 гр. Уд.с. (Гав)</t>
  </si>
  <si>
    <t>Неприхотливое, очень зимостойкое растение из семейства Астровые высотой до 12 см. Розетка листьев компактная. Соцветия очень крупные, до 6 см, изящные, лучистые, белого, красного и розового цвета. Цветет в апреле - июле, при хорошем уходе цветение продолжается до осени с перерывом в жаркий период сезона. Хорошо растет на любых почвах. Светолюбивое растение, но хорошо выдерживает легкое затенение. Выращивают посевом в открытый грунт. Всходы появляются через 7-10 дней. Маргаритка прекрасно подходит для посадки на клумбах, рабатках, а также в горшках и балконных ящиках.</t>
  </si>
  <si>
    <t>4601431098435</t>
  </si>
  <si>
    <t>Ц Мелколепестник Зонтик голубой (мн) 0,02 гр.(Гав)</t>
  </si>
  <si>
    <t>Цветущее травянистое многолетнее растение с коротким корневищем, относится к семейству Астровые. Небольшие кустики, буквально усеянные изящными цветками из мелких пушистых лепестков воздушно-сиреневой окраски с легким оттенком лаванды и ярко-солнечной серединкой.</t>
  </si>
  <si>
    <t>4601431098428</t>
  </si>
  <si>
    <t>Ц Мелколепестник Зонтик розовый (мн) 0,02 гр.(Гав)</t>
  </si>
  <si>
    <t>Цветущее травянистое многолетнее растение с коротким корневищем, относится к семейству Астровые. Небольшие кустики, буквально усеянные изящными цветками из мелких пушистых лепестков воздушно-розовой окраски и ярко-солнечной серединкой. Мелколепестник светолюбив, переносит легкое затенение, морозостоек, предпочитает хорошо дренированные почвы без застоя воды. Размножают семенами, делением куста и зелеными черенками..</t>
  </si>
  <si>
    <t>4601431011762</t>
  </si>
  <si>
    <t>Ц Мимоза стыдливая Кампина (комн) 0,1гр.(Гав)</t>
  </si>
  <si>
    <t>Красивоцветущее, декоративно-лиственное, горшечное растение семейства бобовых. У мимозы стыдливой лёгкая перистая листва и розовые округлые пушистые цветки. Если вы нежно прикоснётесь к листьям, похожими на листья папоротника, они мгновенно сложатся, прижавшись к черешку, который наклонится вниз. Если растение не трогать, то через некоторое время листочки постепенно раскроются и растение примет свой прежний вид. Именно эта потрясающая реакция листьев и дала растению название.</t>
  </si>
  <si>
    <t>4601431005907</t>
  </si>
  <si>
    <t>Ц Мирабилис Матис, смесь (одн) 1,0гр.(Гав)</t>
  </si>
  <si>
    <t>Травянистое растение. Кустики удлиненно-округлые, 30-80 см высотой, с клубневидными, взутыми корнями. Стебли прямостоячие, густоветвистые, красноватые, одревесневающие в нижней части. Цветки воронковидные, до 2,5 см в диаметре, белые, желтые, оранжевые, малиновые, пурпуровые, ярко-красные или двухцветные, по 3-5 в чашевидной обертке, собраны в щитковидные соцветия на концах побегов, душистые. Открываются с 16 часов и открыты до следующего утра. Свето- и теплолюбивое, засухоустойчивое растение. При длительной засухе приостанавливает развитие и цветение. Растение легко размножается семенами, которые высевают в парник в марте-апреле. Рассаду высаживают в открытый грунт после того, как минует угроза заморозков.</t>
  </si>
  <si>
    <t>4601431016651</t>
  </si>
  <si>
    <t>Ц Молодило Каменная Роза 0,01гр.(Гав) 182029578</t>
  </si>
  <si>
    <t>Название этих растений, относящихся к семейству Толстянковые в переводе с латинского звучит как «всегда живущий». По поверью, молодило охраняет дома от молний и ведьм. Растения имеют розетку сочных листьев от 1 до 15 см в диаметре и цветонос до 20-30 см. Образуют целые колонии вместе с дочерними розетками, развивающимися из пазух листьев. Они легко обламываются и укореняются. Процесс цветения оригинален: материнская розетка вытягивается в длинный цветонос с соцветием от желтого до карминово-красного цвета, цветет 2-3 недели и увядает, оставляя вокруг себя дочерние розетки. Растения неприхотливы, способны расти на грунте, толщиной всего 1 см и менее, поселяясь в расщелинах камней, на самых крутых склонах, вертикальных подпорках на солнечных местах. Розетки разных видов отличаются по форме, опушению и расцветке, бывают серые, зеленые, пурпурные, с красными кончиками.</t>
  </si>
  <si>
    <t>4601431013483</t>
  </si>
  <si>
    <t>Ц Морозник Спринг лимонно-зеленый восточный (кавказский)* 0,1 г (Гав)</t>
  </si>
  <si>
    <t>Ранневесеннее растение с прикорневыми кожистыми листьями. Цветоносы до 50 см высотой с 1-3 цветками около 8 см в диаметре, желтовато-зеленой или зеленовато-белой окраски с коричневатым оттенком. Цветет с конца апреля в течение 35-40 дней. Морозник предпочитает полузатененные места среди деревьев и кустарников, однако при регулярном поливе может расти и на солнце. Долговечен, на одном месте прекрасно растет десятки лет. Цветки морозников долго стоят в срезке. Флористы используют их для составления сухих композиций, так как выдержанные в растворе глицерина, они долго сохраняют цвет и форму. СИЛЬНО ЯДОВИТ!</t>
  </si>
  <si>
    <t>4601431016972</t>
  </si>
  <si>
    <t>Ц Мшанка Сюрприз (мн) 0,02гр.(Гав)</t>
  </si>
  <si>
    <t>Многолетнее растение, образующее густые, небольшие, вечнозеленые подушки около 8 см высотой, напоминающие зеленый мох. Мшанка шиловидная имеет  ветвистые, ползучие стебли покрытые мелкими листьями. Обильно цветет  в июле — сентябре белыми  до 0,5 см в диаметре, цветками. Хорошо растет  на солнечных местах с суглинистой почвой.  Зимостойка, но в бесснежные зимы может подмерзать.  Семена высевают в ящики с легкой землей в мае,  подросшие растения высаживают на постоянное место в июне, на расстоянии 5 см.  Выигрышно смотрится на каменистых участках и в ковровых композициях. Исключительно хороша для посадки на террасах каменистых садов всех типов и между плит дорожек. Незаменима при создании горных ландшафтных композиций. Является лучшей имитацией зарослей мха в “японских садах”.</t>
  </si>
  <si>
    <t>4601431011441</t>
  </si>
  <si>
    <t>Ц Наперстянка Эксельсиор  0,05 г (Гав)</t>
  </si>
  <si>
    <t>Травянистое растение из семейства Норичниковые высотой 120 см. Цветет в июне-августе. Цветки крупные (длиной 3-4 см) колокольчатые белой, розовой, красной окраски, собраны в эффектное соцветие-кисть длиной 60-80 см..</t>
  </si>
  <si>
    <t>4601431113077</t>
  </si>
  <si>
    <t>Ц Настурция Бейби салмон 1г (Гав)</t>
  </si>
  <si>
    <t>На темно-изумрудных листьях с едва уловимыми лиловыми прожилками приятно расположились простые и полумахровые сияющие цветочки воздушных лососево-розовых оттенков с изысканным, слегка терпким ароматом. Супер-компактные, низкорослые, прямостоячие растения выглядят эффектно и ярко, особенно высаженные вокруг клумб и вдоль дорожек, создавая впечатление ажурной окантовки.  Настурция неприхотлива, очень красива и полезна в борьбе с вредителями. Прекрасно подходит для оформления бордюров, вазонов и балконов, радуя обильным цветением с июня до заморозков.</t>
  </si>
  <si>
    <t>4601431003583</t>
  </si>
  <si>
    <t>Ц Настурция Бриллиант 1г (Гав)</t>
  </si>
  <si>
    <t>Однолетнее травянистое растение семейства Настурциевые с плетистыми побегами длиной 3 м. Цветет обильно с июня до заморозков. Цветки темно-красные 5-6 см в диаметре. Теплолюбива и светолюбива. Предпочитает умеренно плодородные, влажные почвы. Выращивают рассадным способом или прямым посевом в открытый грунт. Для получения рассады семена высевают в апреле в горшки (по 2-3 в лунку). Всходы появляются через 10-14 дней. В открытый грунт растения высаживают, не нарушая земляной ком в конце мая-начале июня на расстоянии 40-45 см. Посев в открытый грунт проводят в мае предварительно намоченными в течение суток семенами по 3-4 шт. в лунку. Используется для вертикального озеленения и как ампельное растение.</t>
  </si>
  <si>
    <t>4601431098633</t>
  </si>
  <si>
    <t>Ц Настурция Вишенка 1,0 г (Гав)</t>
  </si>
  <si>
    <t>У настурции очень красивые листья — крупные, щитковидные, на длинных черешках, что придает посадкам дополнительную декоративность. Цветет обильно с июня до заморозков восхитительно-махровыми, вишнево-розовой окраски цветками, до 5 см в диаметре. Тепло- и светолюбива. Предпочитает умеренно плодородные, влажные почвы. Выращивают рассадным способом и посевом в грунт. Для получения рассады семена высевают в марте-апреле в горшки (по 2-3 шт. в лунку). При температуре 20оС всходы появляются через 7-14 дней.</t>
  </si>
  <si>
    <t>4601431088481</t>
  </si>
  <si>
    <t>Ц Настурция Вишневая роза 1,0 г (Гав)</t>
  </si>
  <si>
    <t>Однолетнее травянистое растение из семейства Настурциевые высотой 50 см. Цветет обильно с июня до заморозков. Цветки махровые, яркие, вишнево-розовой окраски, до 5 см в диаметре. Тепло- и светолюбива. Предпочитает умеренно плодородные, влажные почвы. Выращивают рассадным способом и посевом в грунт. Для получения рассады семена высевают в марте-апреле в горшки (по 2-3 шт. в лунку).</t>
  </si>
  <si>
    <t>4601431019997</t>
  </si>
  <si>
    <t>Ц Настурция Король гномов (одн) 1,0г (Гав)</t>
  </si>
  <si>
    <t>Красивое однолетнее растение из семейства Настурциевые с нарядными густо-красными цветами. Формирует компактный, хорошо облиственный кустик. Цветет обильно с июня до заморозков. Теплолюбива и светолюбива. Предпочитает умеренно плодородные, влажные почвы. Выращивают рассадным способом или прямым посевом в открытый грунт. Для получения рассады семена высевают в горшки по 2-3 штуки в лунку. Температура прорастания семян 20-25°C. Всходы появляются через 10-14 дней.</t>
  </si>
  <si>
    <t>4601431026384</t>
  </si>
  <si>
    <t>Ц Настурция Осенний вальс 1 гр. (Гав)</t>
  </si>
  <si>
    <t>Одно из самых популярных растений для балконов различной экспозиции. Компактные настурции быстро завоевали признание. Их высаживают в подвесные корзины, вазы, контейнеры. Ценятся за легкость выращивания, оригинальную форму цветков, яркие расцветки. Растение однолетнее, теплолюбивое, не переносит даже легких заморозков; к почвам неприхотливо, на питательных почвах «жирует» в ущерб цветению. Стебли прямостоячие, по мере разрастания стелющиеся и свисающие, длиной 20-70 см. Листья округлые, довольно крупные на длинных черешках. Цветки диаметром 5-6 см, яркие, золотисто-желтые с приятным ароматом. Цветет обильно с июня до заморозков. Теплолюбива и светолюбива. Предпочитает умеренно плодородные, влажные почвы</t>
  </si>
  <si>
    <t>4601431026391</t>
  </si>
  <si>
    <t>Ц Настурция Ремикс (одн) 1 гр (Гав)</t>
  </si>
  <si>
    <t>Одно из самых популярных растений для балконов различной экспозиции. Компактные настурции быстро завоевали признание. Их высаживают в подвесные корзины, вазы, контейнеры. Ценятся за легкость выращивания, оригинальную форму цветков, яркие расцветки. Растение однолетнее, теплолюбивое, не переносит даже легких заморозков; к почвам неприхотливо, на питательных почвах «жирует» в ущерб цветению. Стебли прямостоячие, по мере разрастания стелющиеся и свисающие, длиной 30-50 см. Листья округлые, довольно крупные на длинных черешках. Цветки диаметром 5-6 см, яркие, разнообразной окраски. Цветет обильно с июня до заморозков.</t>
  </si>
  <si>
    <t>4601431013506</t>
  </si>
  <si>
    <t>Ц Незабудка Виктория белая 0,03г (Гав)</t>
  </si>
  <si>
    <t>Многолетнее холодостойкое растение с коротким корневищем и плотной розеткой листьев. Кустики низкие (до 15 см), плотные, весной покрываются шапкой белых цветков. Цветет обильно в мае-июне в течение 40-45 дней. Размножается семенами. Лучше растет в тени и полутени, на участках с влажной, удобренной почвой. Посев в мае-июне в холодные парники или на грядки</t>
  </si>
  <si>
    <t>4601431028593</t>
  </si>
  <si>
    <t>Ц Незабудка Голубые дали 0,05 г Уд.с. (Гав)</t>
  </si>
  <si>
    <t>Многолетнее неприхотливое растение из семейства Бурачниковые высотой 25-30 см, культивируемое как двулетник. Цветет обильно в мае-июне. Цветки мелкие темно-голубой окраски. Предпочитает полутенистые участки с влажной, плодородной почвой, устойчива к засухе и заморозкам. Выращивают посевом в открытый грунт. На постоянное место растения высаживают в конце августа или весной следующего года. Хорошо переносит пересадку. Используется для весеннего оформления цветников и балконов, для получения срезки.</t>
  </si>
  <si>
    <t>4601431048188</t>
  </si>
  <si>
    <t>Ц Немезия Натюрель смесь (одн) 0,01 гр (Гав)</t>
  </si>
  <si>
    <t>Однолетняя очаровательная смесь высотой 20 см, станет великолепным украшением цветников, вазонов и бордюров. Облако из бело-красных и бело-голубых цветков, собранных в рыхлые соцветия на концах стеблей, порадует долгим обильным цветением с июня по август.</t>
  </si>
  <si>
    <t>4601431042254</t>
  </si>
  <si>
    <t>Ц Немофила Готика (Менциса, дисковидная) 0,2 гр.  (Гав)</t>
  </si>
  <si>
    <t>Низкое однолетнее, полустелющееся растение до 10 см высотой. Стебли лежачие, разветвленные. Листья перисто-лопастные, опушенные. Цветки одиночные до 2,5 см в диаметре, расположены в листовых пазухах, черные с белым глазком в центре и белой каймой. Хорошо растут в полутени, но обильное продолжительное цветение возможно только при хорошем солнечном освещении. Немофила эффектна вблизи водоемов, легко комбинируется с другими растениями и прекрасно смотрится в бордюрах. Ее можно сеять вдоль дорожек и между луковичными и клубнелуковичными растениями. При посадке в контейнеры или висячие корзины образует плотный каскад зелени и цветков, который великолепен на переднем плане композиции.</t>
  </si>
  <si>
    <t>4601431019249</t>
  </si>
  <si>
    <t>Ц Обриета Пурпурный каскад (мн) 0,05 гр. (Гав)</t>
  </si>
  <si>
    <t>Многолетнее растение, образующее красивые распростертые куртинки до 15 см высотой, зимующие под снегом. Листья мелкие, продолговато-лопатчатые, с зазубренными краями. Цветки до 1 см в диаметре, пурпурные. Все растение очень декоративно в пору цветения, когда листья почти не видны из-за массы цветков. Цветет с мая около 35-45 дней. Месторасположение только солнечное, даже в полутени обриета вытягивается и практически не цветет.</t>
  </si>
  <si>
    <t>4601431009486</t>
  </si>
  <si>
    <t>Ц Овсяница ледниковая Синичка (мн) 0,1 гр. (Гав)</t>
  </si>
  <si>
    <t>Невысокая многолетняя трава с сине-серыми листьями. Образует пышный полукруглый куст высотой 30-40 см. Лист узкий, линейный, от серо-зеленого до стально-синего цвета. Соцветия серо-зеленые, в мягких метелках на прямом стебле, после цветения становятся светло-коричневыми. Цветет в июне - июле. Сажают ее на сухие места или в вересковые заросли, чтобы ее серебристый цвет вносил оживление в композицию участка. Растение теплолюбивое, предпочитает песчано-гумусные, проницаемые, хорошо дренированные почвы и солнечные места. Через 3—4 года растение следует разделить. Для более интенсивной окраски листьев рекомендуется пересаживать раз в 2 года. В холодные годы не дает яркой окраски. Посев производится в мае, после прогрева почвы. Семена слегка присыпают землей, хорошо уплотняют и поливают.</t>
  </si>
  <si>
    <t>4601431015111</t>
  </si>
  <si>
    <t>Ц Очиток Румянец (ложный) * 0,01 г серия Альпийская горка (Гав)</t>
  </si>
  <si>
    <t>Растение светолюбивое, в тени может вытянуться. Соцветия седума «Пурпурного» весной зеленые, позже розовеют и в конце лета приобретают яркий, насыщенный цвет. Осенью, после окончания цветения, листва растения опадает, стебли очитка «Малиновый» оголяются.</t>
  </si>
  <si>
    <t>4601431089105</t>
  </si>
  <si>
    <t>Ц Пеларгония Горизонт Алый F1 многоцв.  4 шт.(Гав)</t>
  </si>
  <si>
    <t>Цветет очень обильно, круглый год без перерыва. Красивые зеленые листья с затейливым рисунком выгодно оттеняют крупные алые шаровидные соцветия диаметром 10-12 см. Растение высотой 30-35 см.</t>
  </si>
  <si>
    <t>4601431017047</t>
  </si>
  <si>
    <t>Ц Пеларгония Йитка зональная 4 шт. (Гав)</t>
  </si>
  <si>
    <t>Популярное многолетние комнатное растение из семейства Гераниевых. В пору обильного цветения герань придает окнам праздничный вид. Формирует объемный и компактный кустик высотой 35 см, диаметром 25 см. Листья зеленые, с характерным темным рисунком. Цветки нежного лососевого оттенка образуют крупные, шаровидные соцветия. При тщательном уходе может цвести весь год</t>
  </si>
  <si>
    <t>4601431031449</t>
  </si>
  <si>
    <t>Ц Пеларгония Луция зональная 4 шт. (Гав)</t>
  </si>
  <si>
    <t>Многолетние комнатное растение из семейства Гераниевые. В пору обильного цветения герань придает окнам праздничный вид. Формирует объемный и компактный кустик высотой 35 см, диаметром 25 см. Листья зеленые, с характерным темным рисунком.</t>
  </si>
  <si>
    <t>4601431017061</t>
  </si>
  <si>
    <t>Ц Пеларгония Павла, зональная (комн) 4 шт. (Гав)</t>
  </si>
  <si>
    <t>Популярное многолетние комнатное растение из семейства Гераниевых. В пору обильного цветения герань придает окнам праздничный вид. Формирует объемный и компактный кустик высотой 35 см, диаметром 25 см. Листья зеленые, с характерным темным рисунком. Цветки фиолетово-розового оттенка с белым глазком образуют крупные, шаровидные соцветия. При тщательном уходе может цвести весь год. Геранями озеленяют балконы, веранды, лоджии. Их используют в цветочных композициях в полутенистых участках сада.</t>
  </si>
  <si>
    <t>4601431104075</t>
  </si>
  <si>
    <t>Ц Петуния Великая белая, крупноцв. 7 шт. (Гав)</t>
  </si>
  <si>
    <t>Эта восхитительная петуния будет главной героиней любой ландшафтной композиции, украшая пространство своими крупными белоснежными цветками. Прекрасно смотрится как одиночное растение, а в группе, образует яркое, нарядное пятно. Отлично подходит для балконных ящиков, ваз и подвесных кашпо. Раннецветущая. Компактная. Диаметр цветков 10-12 см, распускаются в большом количестве.  Выращивают рассадным способом.</t>
  </si>
  <si>
    <t>4601431104099</t>
  </si>
  <si>
    <t>Ц Петуния Великая красная, крупноцв. 7 шт. (Гав)</t>
  </si>
  <si>
    <t>Эта восхитительная петуния будет главной героиней любой ландшафтной композиции, украшая пространство своими крупными красными цветками. Прекрасно смотрится как одиночное растение, а в группе, образует яркое, нарядное пятно. Отлично подходит для балконных ящиков, ваз и подвесных кашпо. Раннецветущая. Компактная. Диаметр цветков 10-12 см, распускаются в большом количестве. Выращивают рассадным способом. Посев проводят с января по апрель, поверхностно, под стекло (после появления всходов стекло убирают).</t>
  </si>
  <si>
    <t>4601431062610</t>
  </si>
  <si>
    <t>Ц Петуния Горизонт Брайт Роуз F1 многоцв. 5 шт.(Гав)</t>
  </si>
  <si>
    <t>«Горизонт» одна из самых рано и обильно цветущих серий. Благодаря плотным лепесткам, цветки не повреждаются дождями и ветром и растения выглядят опрятно на протяжении всего лета. Формирует компактный куст высотой 25-30 см и диаметром 30-35 см. Цветки розовые, диаметром 6-7 см. Украсит клумбы, вазоны, балконные ящики, подоконники, низкорослые бордюры. Рекомендуется для профессионального озеленения и выращивания на продажу.</t>
  </si>
  <si>
    <t>4601431062603</t>
  </si>
  <si>
    <t>Ц Петуния Горизонт Вайт F1 многоцв. 5 шт.  (Гав)</t>
  </si>
  <si>
    <t>«Горизонт» одна из самых рано и обильно цветущих серий. Благодаря плотным лепесткам, цветки не повреждаются дождями и ветром и растения выглядят опрятно на протяжении всего лета. Формирует компактный куст высотой 25-30 см и диаметром 30-35 см. Цветки белые, диаметром 6-7 см.</t>
  </si>
  <si>
    <t>4601431062573</t>
  </si>
  <si>
    <t>Ц Петуния Даубл Каскад Блу F1 махр. крупноцв. 5 шт.</t>
  </si>
  <si>
    <t>Махровая крупноцветковая серия с ранним обильным цветением и высокой устойчивостью к неблагоприятным погодным условиям. Растение образует компактный ветвистый кустик высотой 25-35 см и диаметром 25-30 см. Листья небольшие, аккуратные. Цветки темно-синие, очень крупные, до 10-13 см в диаметре, похожи на цветки гвоздики, с прочной фактурой, не страдают во время дождей. Украсит контейнеры, вазоны, балконы, подоконники, рабатки, бордюры.</t>
  </si>
  <si>
    <t>4601431062566</t>
  </si>
  <si>
    <t>Ц Петуния Даубл Каскад Бургунди F1 махр. крупноцв. 5 шт.</t>
  </si>
  <si>
    <t>Уникальный гибрид крупноцветковой петунии восхищает утонченной красотой элегантных цветов, похожих на гвоздики и пышным продолжительным цветением. Махровые цветки 8-10 см в диаметре насыщенного тона бургунди. Растение компактное, с хорошим ветвлением, высотой 25-38 см, светолюбиво и достаточно засухоустойчиво. Цветет с конца мая весь сезон. Отлично подходит для различных смешанных композиций, бордюров, рабаток, контейнеров, вазонов, для балконов, подоконников.</t>
  </si>
  <si>
    <t>4601431087613</t>
  </si>
  <si>
    <t>Ц Петуния Джолли Красная звезда, многоцв. 7 шт. (Гав)</t>
  </si>
  <si>
    <t>Новый, фантастически привлекательный тип многоцветковой петунии F1 Джолли. Компактное растение с обильным и продолжительным цветением сохраняет аккуратную шаровидную форму в течение вегетации. Цветки многочисленные, невероятно яркие, с тонким ароматом жасмина. Благодаря высокой устойчивости к повышенным и пониженным температурам (от -5оС до +40оС) петунию можно использовать во всех видах цветочного озеленения: в подвесных кашпо и корзинах, для украшения балконов, оформления бордюров, при создании композиций на клумбах.  Выращивают рассадным способом.</t>
  </si>
  <si>
    <t>4601431087545</t>
  </si>
  <si>
    <t>Ц Петуния Донна Майское утро F1 крупноцв. 7 шт. (Гав)</t>
  </si>
  <si>
    <t>Роскошные раннецветущие гибриды итальянской серии Донна. На компактных кустиках распускаются в большом количестве крупные (10-12 см) цветки ярко-коралловой и нежно-розовой с прожилками-лучиками винного цвета окраски. Выращивают рассадным способом. Петунии можно выращивать в течение нескольких лет, сохраняя зимой в освещенном помещении (растение сильно обрезают, t не более 12°С, умеренный полив). Прекрасно смотрятся отдельные растения петунии, высаженные в группе, образуют яркое, нарядное пятно, великолепно украсят балконные ящики, вазы и подвесные кашпо.</t>
  </si>
  <si>
    <t>4601431026407</t>
  </si>
  <si>
    <t>Ц Петуния Жар птица 7 шт.(Гав)</t>
  </si>
  <si>
    <t>Великолепное фоновое растение для балконов. Растение однолетнее, сильноветвистое, образует низкий, компактный кустик высотой25 см. Цветки многочисленные, лососевой окраски, диаметром5 см. Цветет обильно и продолжительно с мая по октябрь.</t>
  </si>
  <si>
    <t>4601431114944</t>
  </si>
  <si>
    <t>Ц Петуния Изи Вейв плам вайн F1 (Минитуния) суперкаскад. 4 шт. (Гав) 207901080</t>
  </si>
  <si>
    <t>Петуния с пышной, каскадной формой куста, подходит для выращивания в условиях короткого дня, что упрощает выращивание рассады в зимние месяцы (январь, февраль), ускоряет сроки цветения. Растения неприхотливы в уходе, развиваются равномерно даже при неблагоприятных условиях. Во взрослом состоянии гибриды превосходят все известные каскадные формы, включая «сурфинию». Одно растение формирует множество, крупных (5-7 см в диаметре), ярких от светлых до темно сиреневых цветов с тонким сладковатым ароматом. Габитус растений зависит от плотности посадки. При высадке на расстоянии 30 см, растут, в основном, вверх, образуя живую изгородь высотой 30 см. Высаженные на расстоянии 60 см, разрастаются как почвопокровные во всех направлениях на площади 1,0 м2. Но эффектнее всего выглядят растения в подвесных корзинах и балконных ящиках, где мощные многочисленные побеги длиной 0,75-1,0 м, свисая, образуют грандиозный цветущий водопад.</t>
  </si>
  <si>
    <t>4601431074293</t>
  </si>
  <si>
    <t>Ц Петуния Калиффо бордовая 7 шт. гранул. (Гав)</t>
  </si>
  <si>
    <t>Аккуратные «точеные» кустики густо покрывают нарядные цветки диаметром 5 см. Глубину оттенка подчеркивает бархатистая текстура цветков, а яркий белый ободок по краю придает контрастности.</t>
  </si>
  <si>
    <t>4601431074316</t>
  </si>
  <si>
    <t>Ц Петуния Калиффо красная. 7 шт. гранул.(Гав)</t>
  </si>
  <si>
    <t>4601431074323</t>
  </si>
  <si>
    <t>Ц Петуния Калиффо синяя 7 шт. гранул. (Гав)</t>
  </si>
  <si>
    <t>4601431020504</t>
  </si>
  <si>
    <t>Ц Петуния Клубника со сливками амп. 7 шт.(Гав)</t>
  </si>
  <si>
    <t>Беспроигрышно элегантная крупноцветковая смесь гибридных форм. Цветки пурпурно-красные и снежно-белые, до 7-10 см, украшают ниспадающие побеги длиной 50-80 см. Контрастные оттенки и нежность бархата лепестков — вот идеальное решение для летнего убранства сада! Выращивают рассадным способом. Идеальны для создания цветущих каскадов, цветочных аранжировок в висячих корзинах, а также для смешанных посадок в балконных ящиках.</t>
  </si>
  <si>
    <t>4601431006041</t>
  </si>
  <si>
    <t>Ц Петуния Красное море,  крупноцв. (одн) 7 шт.(Гав)</t>
  </si>
  <si>
    <t>Образует компактный куст высотой 25-30 см. Выращивают рассадным способом. Посев проводят с января по апрель, поверхностно, под стекло (после появления всходов стекло убирают). В зимние месяцы январь-февраль досветка обязательна. При ранних сроках посева цветение начинается в мае, что очень удобно для выращивания растений на балконе, закрытых террасах, патио. Без дополнительного освещения петунию высевают не раньше марта. Всходы появляются через 7-12 дней. На постоянное место высаживают, когда минует опасность заморозков. Цветет с июня по сентябрь. Цветки пурпурно-красные 7-10 см в диаметре. Светолюбива и достаточно засухоустойчива.</t>
  </si>
  <si>
    <t>4601431062542</t>
  </si>
  <si>
    <t>Ц Петуния Лимбо Блу 5 шт. (Гав)</t>
  </si>
  <si>
    <t>Классическая профессиональная серия «Лимбо» обладает рядом важнейших качеств для любительского выращивания. Растения неприхотливы, компактной формы, с развитым ветвистым кустиком, который не перерастает и не вытягивается в течение сезона. Уже в мае начинают распускаться крупные синие цветы диаметром 8-12 см и продолжают цвести до заморозков, радуя окружающих.  Лимбо Блу, Лимбо Вайт и Лимбо ред — прекрасный выбор для посадки на клумбы, оформления бордюров и вазонов, декоративного оформления городских балконов.</t>
  </si>
  <si>
    <t>4601431062535</t>
  </si>
  <si>
    <t>Ц Петуния Лимбо Вайт 5 шт. (Гав)</t>
  </si>
  <si>
    <t>Классическая профессиональная серия «Лимбо» обладает рядом важнейших качеств для любительского выращивания. Растения неприхотливы, компактной формы, с развитым ветвистым кустиком, который не перерастает и не вытягивается в течение сезона. Уже в мае начинают распускаться крупные синие цветы диаметром 8-12 см и продолжают цвести до заморозков, радуя окружающих. Лимбо Блу, Лимбо Вайт и Лимбо ред — прекрасный выбор для посадки на клумбы, оформления бордюров и вазонов, декоративного оформления городских балконов.</t>
  </si>
  <si>
    <t>4601431042100</t>
  </si>
  <si>
    <t>Ц Петуния Мороженое сливовое 5 шт. (Гав)</t>
  </si>
  <si>
    <t>Восхитительная гибридная петуния с суперраним обильным цветением. Компактные шаровидные кустики высотой и диаметром 30-40 см, усыпаны пурпурными цветками, диаметром 8-10 см, с выразительным жилкованием на лепестках. Растения выравнены по высоте, что очень важно при создании цветочных массивов и групп в профессиональном озеленении. Посев проводят с февраля по март.</t>
  </si>
  <si>
    <t>4601431052215</t>
  </si>
  <si>
    <t>Ц Петуния Нуволари Белая F1 (Партитуния,полуампел.) 4 шт. (Гав)</t>
  </si>
  <si>
    <t>Итальянская серия «Нуволари» включает в себя петунии с абсолютно новой полу-ампельной формой. Исключительность этих гибридов в том, что довольно длинные побеги полностью укрыты от взоров роскошными белыми цветками  направленных строго вверх. Такая особенность  позволяет избегать образования пустот в каскаде, часто свойственных ампельным формам. Благодаря этому растение, высаженное в подвесные корзины или в балконные ящики похоже на огромный плотно-цветущий шар. Гибриды «Нуволари» зацветают очень рано (в среднем на 2 недели раньше, чем остальные петунии), быстро формируют мощные побеги длиной 40 см и цветки диаметром 6 см, устойчивые к непогоде и ветру. Выращивают рассадным способом.</t>
  </si>
  <si>
    <t>4601431052208</t>
  </si>
  <si>
    <t>Ц Петуния Нуволари Виолет F1 (Партитуния) каскадная 4шт. (Гав)</t>
  </si>
  <si>
    <t>Итальянская серия «Нуволари» включает в себя петунии с абсолютно новой полу-ампельной формой. Исключительность этих гибридов в том, что довольно длинные побеги полностью укрыты от взоров роскошными пурпурно-фиолетовыми цветками  направленных строго вверх. Такая особенность  позволяет избегать образования пустот в каскаде, часто свойственных ампельным формам. Благодаря этому растение, высаженное в подвесные корзины или в балконные ящики похоже на огромный плотно-цветущий шар. Гибриды «Нуволари» зацветают очень рано (в среднем на 2 недели раньше, чем остальные петунии), быстро формируют мощные побеги длиной 40 см и цветки диаметром 6 см, устойчивые к непогоде и ветру. Выращивают рассадным способом.</t>
  </si>
  <si>
    <t>4601431117518</t>
  </si>
  <si>
    <t>Ц Петуния Опера Лемон флер амп. 4 шт. (Гав)</t>
  </si>
  <si>
    <t>Петуния с необычайно бархатистыми нежно-лимонными цветками, сплошь покрывающими сильноветвящиеся гибкие побеги, и легким воздушно-нежным ароматом создаст на вашем участке настоящую сказку. Цветение очень обильное и продолжительное. Растение неприхотливо в уходе, нетребовательно к длительности светового дня. Посаженные в кашпо растения идеально подходят для вертикального декора садов и балконов, а при горизонтальном выращивании можно создать сплошной ковер, площадью до 1 м2. Выращивают рассадным способом.</t>
  </si>
  <si>
    <t>4601431037809</t>
  </si>
  <si>
    <t>Ц Петуния Пируэт красный с белым 5 шт.(Гав)</t>
  </si>
  <si>
    <t>Обворожительная крупноцветковая серия петуний с мощным ветвлением и ранним цветением. Растение образует шаровидный куст высотой 25-35 см и диаметром 25-35 см. Цветки плотномахровые, красные с эффектной белой полосой по краю гофрированных лепестков, диаметром 10-12 см. Посев проводят с февраля по март. При зимнем посеве всходам необходима подсветка. Всходы появляются через 7-12 дней. На постоянное место высаживают, когда минует опасность заморозков. Цветет с конца мая весь сезон. Светолюбива и достаточно засухоустойчива. Предпочитает легкие, плодородные, хорошо дренированные почвы. Украсит клумбы, вазоны, балконные ящики, подоконники, низкорослые бордюры.</t>
  </si>
  <si>
    <t>4601431037816</t>
  </si>
  <si>
    <t>Ц Петуния Пируэт розовый с белым 5 шт.(Гав)</t>
  </si>
  <si>
    <t>Обворожительная крупноцветковая серия петуний с мощным ветвлением и ранним цветением. Растение образует шаровидный куст высотой 25-35 см и диаметром 25-35 см. Цветки плотномахровые, ярко-розовые с эффектной белой полосой по краю гофрированных лепестков, диаметром 10-12 см. Посев проводят с февраля по март. При зимнем посеве всходам необходима подсветка. Всходы появляются через 7-12 дней. На постоянное место высаживают, когда минует опасность заморозков. Цветет с конца мая весь сезон. Светолюбива и достаточно засухоустойчива. Предпочитает легкие, плодородные, хорошо дренированные почвы. Украсит клумбы, вазоны, балконные ящики, подоконники, низкорослые бордюры.</t>
  </si>
  <si>
    <t>4601431037755</t>
  </si>
  <si>
    <t>Ц Петуния Пируэт фиолетовый с белым 5 шт.(Гав)</t>
  </si>
  <si>
    <t>Обворожительная крупноцветковая серия петуний с мощным ветвлением и ранним цветением. Растение образует шаровидный куст высотой 25-35 см и диаметром 25-35 см. Цветки плотномахровые, фиолетовые с эффектной белой полосой по краю гофрированных лепестков, диаметром 10-12 см. Посев проводят с февраля по март. При зимнем посеве всходам необходима подсветка. Всходы появляются через 7-12 дней. На постоянное место высаживают, когда минует опасность заморозков. Цветет с конца мая весь сезон. Светолюбива и достаточно засухоустойчива. Предпочитает легкие, плодородные, хорошо дренированные почвы. Украсит клумбы, вазоны, балконные ящики, подоконники, низкорослые бордюры.</t>
  </si>
  <si>
    <t>4601431107755</t>
  </si>
  <si>
    <t>Ц Петуния Розовое утро F1 крупноцвет. 5 шт. (Гав)</t>
  </si>
  <si>
    <t>Яркая многоцветковая петуния украсит Ваш сад крупными (6-7 см в диаметре) цветками нежнейшей воздушно-розовой окраски с эффектным белым центром. Растения образуют невысокие компактные кустики, которые не вытягиваются, обильно цветут, устойчивы к непогоде.</t>
  </si>
  <si>
    <t>4601431118041</t>
  </si>
  <si>
    <t>Ц Петуния Романтика Исабелла F1 многоцв. 7 шт. (Гав) 207692951</t>
  </si>
  <si>
    <t>Изящная серия многоцветковой петунии F1 Романтика очаровывает продолжительным и обильным цветением бархатных соцветий. Цветки многочисленные, сочных оттенков бордового с ярким акцентом-звездой и легким ароматом жасмина. Компактные кустики-шарики сохраняют свою форму в течение всего сезона. Благодаря высокой устойчивости к повышенным и пониженным температурам (от -5оС до +40оС) петунию можно использовать во всех видах цветочного озеленения: в подвесных кашпо и корзинах, для украшения балконов, оформления бордюров. Выращивают рассадным способом.</t>
  </si>
  <si>
    <t>4601431118058</t>
  </si>
  <si>
    <t>Ц Петуния Романтика Мунлайт F1 многоцв. 7 шт. (Гав) 208331812</t>
  </si>
  <si>
    <t>Изящная серия многоцветковой петунии F1 Романтика очаровывает продолжительным и обильным цветением бархатных соцветий. Компактные кустики густо покрывают роскошные, глубокого бордового окраса с сияющей бело-желтой звездой цветки диаметром 5,5 см. Благодаря высокой устойчивости к повышенным и пониженным температурам (от -5оС до +40оС) петунию можно использовать во всех видах цветочного озеленения: в подвесных кашпо и корзинах, для украшения балконов, оформления бордюров. Выращивают рассадным способом.</t>
  </si>
  <si>
    <t>4601431125056</t>
  </si>
  <si>
    <t>Ц Петуния Романтика Норма F1 многоцв. 7 шт. (Гав)</t>
  </si>
  <si>
    <t>Изящная серия крупноцветковой петунии F1 Романтика очаровывает продолжительным и обильным цветением бархатных соцветий. Цветки крупные, уникальной двуцветной окраски, оттенков бордового и зелено-желтого, меняют насыщенность цветов в зависимости от освещения и возраста растения. Благодаря высокой устойчивости к повышенным и пониженным температурам (от -5оС до +40оС) петунию можно использовать во всех видах цветочного озеленения: в подвесных кашпо и корзинах, для украшения балконов, оформления бордюров. Выращивают рассадным способом.</t>
  </si>
  <si>
    <t>4601431118072</t>
  </si>
  <si>
    <t>Ц Петуния Романтика Стар F1 многоцв. 7 шт. (Гав) 207693881</t>
  </si>
  <si>
    <t>Изящная серия многоцветковой петунии F1 Романтика очаровывает продолжительным и обильным цветением бархатных соцветий. Благодаря высокой устойчивости к повышенным и пониженным температурам (от -5оС до +40оС) и, в зависимости от плотности посадки, петунию можно использовать во всех видах цветочного озеленения. Светолюбива и достаточно засухоустойчива. Предпочитает легкие, плодородные, хорошо дренированные почвы.</t>
  </si>
  <si>
    <t>4601431006034</t>
  </si>
  <si>
    <t>Ц Петуния Синее море 7 шт. крупноцв.(Гав)</t>
  </si>
  <si>
    <t>Образует компактный куст высотой 25-30 см. Выращивают рассадным способом. Посев проводят с января по апрель, поверхностно, под стекло (после появления всходов стекло убирают). В зимние месяцы январь-февраль досветка обязательна. При ранних сроках посева цветение начинается в мае, что очень удобно для выращивания растений на балконе, закрытых террасах, патио. Без дополнительного освещения петунию высевают не раньше марта. Всходы появляются через 7-12 дней. На постоянное место высаживают, когда минует опасность заморозков. Цветет с июня по сентябрь. Цветки синие, 7-10 см в диаметре.</t>
  </si>
  <si>
    <t>4601431024557</t>
  </si>
  <si>
    <t>Ц Петуния Синяя птица 7 шт. крупноцв. Уд.с. (Гав)</t>
  </si>
  <si>
    <t>Растение образует сильно ветвящийся куст высотой 25-30 см. Цветки синие, 7-10 см в диаметре, с ровным краем. Выращивают рассадным способом. Посев проводят поверхностно, под стекло (после появления всходов стекло убирают). Всходы появляются через 7-12 дней. Светолюбива и достаточно засухоустойчива. Предпочитает легкие, плодородные, хорошо дренированные почвы</t>
  </si>
  <si>
    <t>4601431062511</t>
  </si>
  <si>
    <t>Ц Петуния Фалкон Блу F1 крупноцв. 5 шт. (Гав)</t>
  </si>
  <si>
    <t>Крупноцветковая петуния с компактным кустом высотой 20-25 см. Цветки крупные (до 10-12 см в диаметре), держатся на растении не менее 5 дней, что в совокупности с большим количеством бутонов, обеспечивает невероятно обильное и продолжительное цветение. Светолюбива и достаточно засухоустойчива.</t>
  </si>
  <si>
    <t>4601431062498</t>
  </si>
  <si>
    <t>Ц Петуния Фалкон Вайт 5 шт. (Гав)</t>
  </si>
  <si>
    <t>4601431107731</t>
  </si>
  <si>
    <t>Ц Петуния Фалкон Дип роуз F1 крупноцвет. 5 шт. (Гав)</t>
  </si>
  <si>
    <t>4601431107748</t>
  </si>
  <si>
    <t>Ц Петуния Фалкон Мид Блу 5 шт. (Гав)</t>
  </si>
  <si>
    <t>4601431046054</t>
  </si>
  <si>
    <t>Ц Петуния Хулахуп вельвет 5 шт. (Гав)</t>
  </si>
  <si>
    <t>Популярная в профессиональном озеленении серия гибридных петуний вызовет несомненный восторг у садоводов-любителей. Отличается суперранним (в среднем на 12 дней раньше, чем другие крупноцветковые петунии) цветением. Компактный  сильноветвистый кустик обильно усыпан бархатистыми цветками (7,5-8,0 см в диаметре) пурпурно-розового оттенка с контрастным белым ободком по волнистому краю. Посев проводят с февраля по март поверхностно, под стекло, после появления всходов стекло убирают. При зимнем посеве всходам необходима подсветка.</t>
  </si>
  <si>
    <t>4601431046061</t>
  </si>
  <si>
    <t>Ц Петуния Хулахуп голубой 5 шт. (Гав)</t>
  </si>
  <si>
    <t>Популярная в профессиональном озеленении серия гибридных петуний вызовет несомненный восторг у садоводов-любителей. Отличается суперранним (в среднем на 12 дней раньше, чем другие крупноцветковые петунии) цветением. Компактный  сильноветвистый кустик обильно усыпан бархатистыми цветками (7,5-8,0 см в диаметре) пурпурно-синего оттенка с контрастным белым ободком по волнистому краю. Посев проводят с февраля по март поверхностно, под стекло, после появления всходов стекло убирают. При зимнем посеве всходам необходима подсветка.</t>
  </si>
  <si>
    <t>4601431046078</t>
  </si>
  <si>
    <t>Ц Петуния Хулахуп красный 5 шт. (Гав)</t>
  </si>
  <si>
    <t>Популярная в профессиональном озеленении серия гибридных петуний вызовет несомненный восторг у садоводов-любителей. Отличается суперранним (в среднем на 12 дней раньше, чем другие крупноцветковые петунии) цветением. Компактный  сильноветвистый кустик обильно усыпан бархатистыми цветками (7,5-8,0 см в диаметре) ярко-красного оттенка с контрастным белым ободком по волнистому краю.Посев проводят с февраля по март поверхностно, под стекло, после появления всходов стекло убирают. При зимнем посеве всходам необходима подсветка. Всходы появляются через 7-12 дней. На постоянное место высаживают, когда минует опасность заморозков. Цветет с конца мая весь сезон. Светолюбива и достаточно засухоустойчива.</t>
  </si>
  <si>
    <t>4601431107724</t>
  </si>
  <si>
    <t>Ц Петуния Хулахуп розовый F1 крупноцвет. 5 шт. (Гав)</t>
  </si>
  <si>
    <t>Популярная в профессиональном озеленении серия гибридных петуний вызовет несомненный восторг у садоводов-любителей.  Отличается суперранним (в среднем на 12 дней раньше, чем другие крупноцветковые петунии) цветением. Компактный сильноветвистый кустик обильно усыпан бархатистыми цветками (7,5-8,0 см в диаметре) нежного розового оттенка с контрастным белым ободком по краю. Посев производят с февраля по март поверхностно, под стекло, после появления всходов стекло убирают.</t>
  </si>
  <si>
    <t>4601431127982</t>
  </si>
  <si>
    <t>Ц Петуния Шейк Блуберри F1 многоцв. махр. 7 шт. (Гав)</t>
  </si>
  <si>
    <t>Новая уникальная серия петуний «Шейк» формирует компактные растения с многочисленными побегами при высоте всего 15-20 см и ширине 20-25 см. Цветы двуцветной окраски фиолетово-желтых оттенков, 8-12 см в диаметре, придают растению необыкновенно эффектный образ. Цветение очень раннее, обильное и длительное! Эта серия петуний идеально подходит для кашпо, посадок с большой плотностью растений.</t>
  </si>
  <si>
    <t>4601431022348</t>
  </si>
  <si>
    <t>Ц Пиретрум Дуро 0,2гр (мн) (Гав)</t>
  </si>
  <si>
    <t>Многолетнее зимостойкое растение из семейства Астровые высотой 80 см. Период цветения – июнь-июль. Соцветия крупные (10-12 см в диаметре) пупурно-красной окраски. Хорошо растет на солнечных и полутенистых участках. К почве нетребователен, но отзывчив на удобрения и не выносит переувлажнения. Выращивают рассадным способом или прямым посевом в открытый грунт.</t>
  </si>
  <si>
    <t>4601431017894</t>
  </si>
  <si>
    <t>Ц Подсолнечник Вечернее солнце 0,5 г (Гав)</t>
  </si>
  <si>
    <t>Однолетнее декоративное растение из семейства Астровые. Стебель прямостоячий, ветвистый, высотой от 2,5 м и выше. На растении распускается 4-6 соцветий бордовой или коричнево-красной окраски, иногда с кремово-палевым кругом у центра или на кончиках лепестков. Цветет с июля по сентябрь. Засухоустойчив и теплолюбив, предпочитает солнечные участки с плодородной рыхлой почвой. Выращивают прямым посевом в открытый грунт в апреле-мае по схеме 30 х 40 см, по 2-3 семечки на глубину 2-5 см. Всходы переносят заморозки до -6°C. Используется для срезки и создания живой изгороди.</t>
  </si>
  <si>
    <t>4601431115200</t>
  </si>
  <si>
    <t>Ц Примула Супернова полиантовая 4 шт. (Гав)</t>
  </si>
  <si>
    <t>Многолетняя обильноцветущая смесь полиантовых примул селекции «SAKATA» с крупными, яркими, ароматными цветками диаметром 5-6 см, собранными в объемные соцветия по 5-15 шт. Растения компактные высотой 15 см, диаметром 25 см. Во время цветения, в мае- июне, сплошь покрываются множеством очаровательных цветков желтых, голубых, красных, розовых, фиолетовых оттенков, в обрамлении цельных прикорневых зеленых листьев. Прекрасно подходят для каменных горок, рабаток, патио, для посадки в бордюры и как горшечное, контейнерное растение.</t>
  </si>
  <si>
    <t>4601431043268</t>
  </si>
  <si>
    <t>Ц Ранункулюс Цветущая долина Белая (мн) 3 шт.(Гав)</t>
  </si>
  <si>
    <t>Карликовое многолетнее растение высотой всего 20-25 см идеально подойдет для выращивания в горшечной культуре или создания ярких цветущих клумб и бордюров. Очаровательные белые, махровые цветки, диаметром 8 см, похожи при раскрытии бутонов на розочки, а в полном роспуске - на миниатюрные махровые маки. Стебель простой с небольшими глубоко рассечёнными листьями. Цветет в конце июня - июле.</t>
  </si>
  <si>
    <t>4601431043275</t>
  </si>
  <si>
    <t>Ц Ранункулюс Цветущая долина Золотая (мн) 3 шт.(Гав)</t>
  </si>
  <si>
    <t>Карликовое многолетнее растение высотой всего 20-25 см идеально подойдет для выращивания в горшечной культуре или создания ярких цветущих клумб и бордюров. Очаровательные золотисто-желтые, махровые цветки, диаметром 8 см, похожи при раскрытии бутонов на розочки, а в полном роспуске - на миниатюрные махровые маки. Стебель простой с небольшими глубоко рассечёнными листьями. Цветет в конце июня - июле.</t>
  </si>
  <si>
    <t>4601431043282</t>
  </si>
  <si>
    <t>Ц Ранункулюс Цветущая долина Красная (мн) 3 шт.(Гав)</t>
  </si>
  <si>
    <t>Многолетнее растение из семейства Лютиковые. Этот карликовый гибрид высотой всего 20-25 см идеально подойдет для выращивания в горшечной культуре или создания ярких цветущих клумб и бордюров. Очаровательные красные, махровые цветки, диаметром 8 см, похожи при раскрытии бутонов - на розочки, а в полном роспуске - на миниатюрные махровые маки. Стебель простой с небольшими глубоко рассечёнными листьями. Цветет в конце июня - июле.</t>
  </si>
  <si>
    <t>4601431107830</t>
  </si>
  <si>
    <t>Ц Ранункулюс Цветущая долина оранжевая (мн) 3 шт.(Гав)</t>
  </si>
  <si>
    <t>Карликовое многолетнее растение высотой всего 20-25 см идеально подойдет для выращивания в горшечной культуре или создания ярких цветущих клумб и бордюров. Очаровательные оранжевые, махровые цветки, диаметром 8 см, похожи при раскрытии бутонов на розочки, а в полном роспуске - на миниатюрные махровые маки. Стебель простой с небольшими глубоко рассечёнными листьями. Цветет в конце июня-июле.</t>
  </si>
  <si>
    <t>4601431100459</t>
  </si>
  <si>
    <t>Ц Ранункулюс Цветущая долина розовая (мн) 3 шт.(Гав)</t>
  </si>
  <si>
    <t>4601431078451</t>
  </si>
  <si>
    <t>Ц Ранункулюс Цветущая долина Фиолетовая (мн) 3 шт.(Гав)</t>
  </si>
  <si>
    <t>Многолетнее растение из семейства Лютиковые. Этот карликовый гибрид высотой всего 20-25 см идеально подойдет для выращивания в горшечной культуре или создания ярких цветущих клумб и бордюров. Очаровательные фиолетовые, махровые цветки, диаметром 8 см, похожи при раскрытии бутонов - на розочки, а в полном роспуске - на миниатюрные махровые маки. Стебель простой с небольшими глубоко рассечёнными листьями. Цветет в конце июня - июле.</t>
  </si>
  <si>
    <t>4601431004344</t>
  </si>
  <si>
    <t>Ц Резеда Хавская душистая* 0,05 г (Гав)</t>
  </si>
  <si>
    <t>Однолетнее декоративное растение семейства Резедовые высотой 30-40 см. Цветет с июня до глубокой осени. Мелкие, зеленоватой окраски цветки, собранные в пирамидальные соцветия, имеют очень нежный, тонкий аромат. Светолюбива, холодостойка и влаголюбива, но не переносит избыточного увлажнения, предпочитает плодородные почвы. Используется для посадки в микбордерах, вдоль дорожек, около беседок и террас, в балконные ящики и вазы, а также как горшечная культура.</t>
  </si>
  <si>
    <t>4601431035348</t>
  </si>
  <si>
    <t>Ц Сальвия Ред Меджик Уд. с. (Гав)</t>
  </si>
  <si>
    <t>Однолетнее растение из семейства Губоцветные, высотой до 45 см. Цветение обильное и продолжительное с июля до заморозков. Цветки ярко-красные, собраны в кистевидное соцветие длиной 14-20 см. Предпочитает солнечные участки с рыхлыми, умеренно плодородными почвами, может расти в полутени. Выращивают рассадным способом. Всходы появляются на 10-15 день. Используют для посадки на клумбах, газонах, в рабатки и балконные ящики.</t>
  </si>
  <si>
    <t>4601431018822</t>
  </si>
  <si>
    <t>Ц Сальвия Сага ярко-красная 0,05гр. (Гав)</t>
  </si>
  <si>
    <t>Однолетнее растение семейства Губоцветные высотой до 70 см. Стебли прямые, ветвящиеся, опущенные. Листья яйцевидные, с острой верхушкой и усеченным или сердцевидным основанием, мелкопильчатые по краю. Цветки яркие, лососево-красные, собраны в кистевидное соцветие длиной 15-30 см. Цветки в мутовках по 4-8 штук. Венчик красный, около 3 см длиной, с длинной трубкой. Предпочитает солнечные участки с рыхлыми, умеренно плодородными почвами, может расти в полутени. Выращивают рассадным способом.</t>
  </si>
  <si>
    <t>4601431003873</t>
  </si>
  <si>
    <t>Ц Сальпиглоссис Супербиссима 0,05 гр.(Гав)</t>
  </si>
  <si>
    <t>Однолетнее изящное растение из семейства Пасленовые высотой 60 см. Цветение обильное с июня по сентябрь. Цветки воронковидные, разнообразной окраски (от белой до темно-фиолетовой) с бархатистыми лепестками, 5 см в диаметре. Выращивают чаще всего прямым посевом в грунт во второй половине апреля, расстояние между взрослыми растениями должно составлять 20-30 см. Светолюбив и теплолюбив, предпочитает защищенные от ветра участки с плодородными водопроницаемыми почвами. Плохо переносит пересадку и переувлажнение.</t>
  </si>
  <si>
    <t>4601431018815</t>
  </si>
  <si>
    <t>Ц Скабиоза Лавандовая леди пурпурная 0,2 гр.(Гав)</t>
  </si>
  <si>
    <t>Крупноцветковая скабиоза - неприхотливое однолетнее растение из семейства Ворсянковых. Стебель прямой, разветвляющийся, высотой до 90 см. Прикорневые листья ланцетно-овальные, крупнозубчатые, стеблевые – супротивные, перисто-раздельные. Мелкие цветки собраны в головчатые соцветия диаметром 5-6 см. Соцветия лавандово-голубые, махровые, на длинных прочных цветоносах, что особенно ценно для цветочных аранжировок. Предпочитает солнечнее места с плодородной рыхлой почвой. Размножают семенами: посев на рассаду — в феврале-марте; в открытый грунт — в апреле-мае, выдерживая расстояние между растениями 35-40 см. Идеально подходит для клумб, рабаток. В срезке стоит очень долго. Отлично переносит пересадку даже в цветущем состоянии.</t>
  </si>
  <si>
    <t>4601431015517</t>
  </si>
  <si>
    <t>Ц Сосна Ажурная обыкновенная 0,2гр.(Гав)</t>
  </si>
  <si>
    <t>Дерево высотой до 20-40 м, в молодости с конусовидной, позднее с зонтиковидной кроной. У взрослого дерева кора глубокобороздчатая, красно-бурая. В верхней части створа ярко-рыжая. Хвоя сизовато-зеленая, слегка изогнутая, плотная, торчащая, длиной 4-7 см, в пучке по 2 хвоинки. Шишки одиночные или по 2-3, семена – крылатые орешки, – созревают на второй год.</t>
  </si>
  <si>
    <t>4601431019980</t>
  </si>
  <si>
    <t>Ц Спатодея Африканское тюльпанное дерево (комн) 0,05гр. (Гав)</t>
  </si>
  <si>
    <t>Очень красивое экзотическое растение из семейства Бигнониевые, родом из тропической Африки. Его называют также «деревом-фонтаном» из-за многочисленных крупных оранжево-красных цветов, по форме напоминающих тюльпаны и собранных в роскошные соцветия. Оно привлекательно и эффектно даже не в цветущем состоянии благодаря крупным шероховатым листьям, сидящим попарно по 13-15 штук на длинном черешке. Часто спатодею называют «Огненным деревом», поскольку в природе она цветет практически круглый год, а её цветы особенно ярко смотрятся на фоне темно-зеленой листвы. В местах обитания растет достаточно быстро и достигает 10-15 метров в высоту. В комнатной культуре темпы роста умеренные, и высота развитого растения достигает 2 м.</t>
  </si>
  <si>
    <t>4601431076105</t>
  </si>
  <si>
    <t>Ц Табак Сандер Красный крылатый 0,05 г  (Гав)</t>
  </si>
  <si>
    <t>Декоративное однолетнее растение высотой 60-90 см. Стебли ветвистые. Листья овальной формы, собраны в прикорневую розетку. Цветки яркого карминно-красного цвета, крупные (до 7 см в диаметре), в форме звезды, длиннотрубчатые, собраны в метельчатые соцветия. Цветение продолжительное в течение лета до заморозков. Растение предпочитает открытые солнечные места со слабокислыми и влажными почвами.</t>
  </si>
  <si>
    <t>4601431041707</t>
  </si>
  <si>
    <t>Ц Флокс Очарование белое друммонди (одн) 0,05 гр. (Гав.)</t>
  </si>
  <si>
    <t>Эффектная крупноцветковая смесь однолетних низкорослых сортов флокса с обильным цветением и ошеломляюще красивой окраской. Растения компактные, высотой до 25 см. Цветки до 1,5-2 см в диаметре, белые, собраны в щитковидные соцветия. Предпочитает солнечные места и легкие дренированные плодородные почвы с большим количеством органики. Посев на рассаду — в марте-апреле, высадка в грунт — в мае, через 15 см. Цветет с июня до заморозков. Используют в качестве клумбового и бордюрного растения, выращивают в контейнерах и горшках, на каменистых горках. Подходит для ярких мини-букетов.</t>
  </si>
  <si>
    <t>4601431051126</t>
  </si>
  <si>
    <t>Ц Флокс Очарование голубое друммонди 0,05 гр. (Гав.)</t>
  </si>
  <si>
    <t>Эффектная крупноцветковая серия однолетних низкорослых сортов флокса с обильным цветением и ошеломляюще красивой окраской. Растения компактные, высотой до 25 см. Цветки до 1,5-2 см в диаметре, голубые, собраны в щитковидные соцветия. Предпочитает солнечные места и легкие дренированные плодородные почвы с большим количеством органики. Посев на рассаду — в марте-апреле, высадка в грунт — в мае, через 15 см. Цветет с июня до заморозков. Используют в качестве клумбового и бордюрного растения, выращивают в контейнерах и горшках, на каменистых горках. Подходит для ярких мини-букетов.</t>
  </si>
  <si>
    <t>4601431061873</t>
  </si>
  <si>
    <t>Ц Целозия Кимоно Оранж перистая 10 шт. (Гав)</t>
  </si>
  <si>
    <t>Карликовое растение высотой до 15 см с оригинальными метельчатыми соцветиями оранжевой окраски. Цветет с июля по сентябрь. Наибольшей декоративности достигает при посадке на солнечных, защищенных от ветра, местах и достаточно плодородных почвах.</t>
  </si>
  <si>
    <t>4601431041486</t>
  </si>
  <si>
    <t>Ц Целозия Китайский шелк 0,1 гр. (Гав)</t>
  </si>
  <si>
    <t>Однолетнее карликовое растение из семейства Амарантовые высотой 30 см с оригинальным соцветием в виде гребня пурпурной окраски и темно-красными листьями. Цветет с июля до заморозков. Целозия теплолюбива, светолюбива, относительно засухоустойчива, но молодым растениям необходим хороший полив. Предпочитает рыхлые, плодородные почвы, при избытке азотных и органических удобрений цветение уменьшается. Выращивают рассадным способом. Используют для посадки группами на клумбах.</t>
  </si>
  <si>
    <t>4601431006119</t>
  </si>
  <si>
    <t>Ц Цинерария приморская Серебряная пыль 0,1гр.(Гав)</t>
  </si>
  <si>
    <t>Травянистое растение семейства Астровые. Листья перисто-раздельные, до 15 см длиной, снизу покрыты серебристым войлоком, отчего растение имеет бело-серебристый цвет. В августе зацветает. Соцветия мелкие, по мере появления их удаляют. Размножают семенами. В марте проводят посев в горшки или в ящик и в июне высаживают на постоянное место. Цинерарии любят солнечные места, где лучше всего проявляется окраска листьев. Правда, и в полутени крестовник чувствует себя неплохо. Предпочитают не очень плодородные и не слишком увлажненные почвы</t>
  </si>
  <si>
    <t>4601431084179</t>
  </si>
  <si>
    <t>Ц Цинния Великан белый 0,3 гр. (Гав)</t>
  </si>
  <si>
    <t>Отличается чрезвычайно обильным и продолжительным цветением, прочными ветвящимися цветоносами, чистыми и стойкими к выгоранию тонами соцветий. Формирует приподнятые, разветвленные кусты высотой до 90 см. Соцветия георгиновидные, крупные, белые, 15 см в диаметре, с высокой устойчивостью к неблагоприятным погодным условиям. Цветет с июня до заморозков. Циннии светолюбивы, засухоустойчивы и теплолюбивы; отзывчивы на полив, без длительного полива снижается интенсивность цветения и уменьшается размер соцветий. Выращивают рассадным способом.</t>
  </si>
  <si>
    <t>4601431084193</t>
  </si>
  <si>
    <t>Ц Цинния Великан желтый 0,3 г (Гав)</t>
  </si>
  <si>
    <t>Серия высокорослых крупноцветковых цинний для элитного оформления сада. Отличается чрезвычайно обильным и продолжительным цветением, прочными ветвящимися цветоносами, чистыми и стойкими к выгоранию тонами соцветий. Формирует приподнятые, разветвленные кусты высотой до 90 см. Соцветия георгиновидные, крупные, желтые, 15 см в диаметре, с высокой устойчивостью к неблагоприятным погодным условиям. Цветет с июня до заморозков. Циннии светолюбивы, засухоустойчивы и теплолюбивы; отзывчивы на полив, без длительного полива снижается интенсивность цветения и уменьшается размер соцветий. Выращивают рассадным способом.</t>
  </si>
  <si>
    <t>4601431084216</t>
  </si>
  <si>
    <t>Ц Цинния Великан малиновый 0,3 гр. (Гав)</t>
  </si>
  <si>
    <t>Серия высокорослых крупноцветковых цинний для элитного оформления сада. Отличается чрезвычайно обильным и продолжительным цветением, прочными ветвящимися цветоносами, чистыми и стойкими к выгоранию тонами соцветий. Формирует приподнятые, разветвленные кусты высотой до 90 см. Соцветия георгиновидные, крупные, малиновые, 15 см в диаметре, с высокой устойчивостью к неблагоприятным погодным условиям. Цветет с июня до заморозков. Циннии светолюбивы, засухоустойчивы и теплолюбивы; отзывчивы на полив, без длительного полива снижается интенсивность цветения и уменьшается размер соцветий. Выращивают рассадным способом.</t>
  </si>
  <si>
    <t>4601431089693</t>
  </si>
  <si>
    <t>Ц Цинния Великан розовый 0,3 г (Гав)</t>
  </si>
  <si>
    <t>Высокорослая крупноцветковая цинния для элитного оформления сада. Отличается чрезвычайно обильным и продолжительным цветением, прочными ветвящимися цветоносами, чистыми и стойкими к выгоранию тонами соцветий. Формирует кусты высотой до 90 см. Соцветия георгиновидные, крупные, розовые, 15 см в диаметре, с высокой устойчивостью к неблагоприятным погодным условиям. Цветет с июня до заморозков. Циннии светолюбивы, засухоустойчивы и теплолюбивы; отзывчивы на полив, без длительного полива снижается интенсивность цветения и уменьшается размер соцветий. Выращивают рассадным способом.</t>
  </si>
  <si>
    <t>4601431041936</t>
  </si>
  <si>
    <t>Ц Цинния Исполин белый 0,3гр. (Гав)</t>
  </si>
  <si>
    <t>Серия высокорослых крупноцветковых цинний для элитного оформления сада. Отличается чрезвычайно обильным и продолжительным цветением, прочными ветвящимися цветоносами, чистыми и стойкими к выгоранию тонами соцветий. Формирует приподнятые, разветвленные кусты высотой до 90 см. Соцветия георгиновидные, крупные, белые, 15 см в диаметре, с высокой устойчивостью к неблагоприятным погодным условиям. Цветет с июня до заморозков. Циннии светолюбивы, засухоустойчивы и теплолюбивы; отзывчивы на полив, без длительного полива снижается интенсивность цветения и уменьшается размер соцветий. Выращивают рассадным способом. Семена высевают в апреле. Всходы появляются через 4-6 дней. В начале июня растения высаживают на расстоянии 20 см.</t>
  </si>
  <si>
    <t>4601431041974</t>
  </si>
  <si>
    <t>Ц Цинния Исполин малиновый 0,3гр. (Гав)</t>
  </si>
  <si>
    <t>Серия высокорослых крупноцветковых цинний для элитного оформления сада. Отличается чрезвычайно обильным и продолжительным цветением, прочными ветвящимися цветоносами, чистыми и стойкими к выгоранию тонами соцветий. Формирует приподнятые, разветвленные кусты высотой до 90 см. Соцветия георгиновидные, крупные, малиновые, 15 см в диаметре, с высокой устойчивостью к неблагоприятным погодным условиям.</t>
  </si>
  <si>
    <t>4601431041981</t>
  </si>
  <si>
    <t>Ц Цинния Исполин пурпурный 0,3гр. (Гав)</t>
  </si>
  <si>
    <t>Серия высокорослых крупноцветковых цинний для элитного оформления сада. Отличается чрезвычайно обильным и продолжительным цветением, прочными ветвящимися цветоносами, чистыми и стойкими к выгоранию тонами соцветий. Формирует приподнятые, разветвленные кусты высотой до 90 см. Соцветия георгиновидные, крупные, пурпурные, 15 см в диаметре, с высокой устойчивостью к неблагоприятным погодным условиям. Цветет с июня до заморозков. Циннии светолюбивы, засухоустойчивы и теплолюбивы; отзывчивы на полив, без длительного полива снижается интенсивность цветения и уменьшается размер соцветий. Выращивают рассадным способом. Семена высевают в апреле. Всходы появляются через 4-6 дней. В начале июня растения высаживают на расстоянии 20 см.</t>
  </si>
  <si>
    <t>4601431041967</t>
  </si>
  <si>
    <t>Ц Цинния Исполин розовый 0,3гр. (Гав)</t>
  </si>
  <si>
    <t>Серия высокорослых крупноцветковых цинний для элитного оформления сада. Отличается чрезвычайно обильным и продолжительным цветением, прочными ветвящимися цветоносами, чистыми и стойкими к выгоранию тонами соцветий. Формирует приподнятые, разветвленные кусты высотой до 90 см. Соцветия георгиновидные, крупные, розовые, 15 см в диаметре, с высокой устойчивостью к неблагоприятным погодным условиям. Цветет с июня до заморозков. Циннии светолюбивы, засухоустойчивы и теплолюбивы; отзывчивы на полив, без длительного полива снижается интенсивность цветения и уменьшается размер соцветий. Выращивают рассадным способом. Семена высевают в апреле. Всходы появляются через 4-6 дней. В начале июня растения высаживают на расстоянии 20 см.</t>
  </si>
  <si>
    <t>4601431041929</t>
  </si>
  <si>
    <t>Ц Цинния Исполин смесь 0,3гр. (Гав)</t>
  </si>
  <si>
    <t>Смесь высокорослых крупноцветковых цинний для элитного оформления сада. Серия «Исполин» отличается чрезвычайно обильным и продолжительным цветением, прочными ветвящимися цветоносами, чистыми и стойкими к выгоранию тонами соцветий. Формирует приподнятые, разветвленные кусты высотой до 90 см. Соцветия георгиновидные, крупные, различных тонов, 15 см в диаметре, с высокой устойчивостью к неблагоприятным погодным условиям. Цветет с июня до заморозков. Циннии светолюбивы, засухоустойчивы и теплолюбивы; отзывчивы на полив, без длительного полива снижается интенсивность цветения и уменьшается размер соцветий. Выращивают рассадным способом. Семена высевают в апреле. Всходы появляются через 4-6 дней. В начале июня растения высаживают на расстоянии 20 см.</t>
  </si>
  <si>
    <t>4601431041905</t>
  </si>
  <si>
    <t>Ц Цинния Лиловый император 0,2 гр.(Гав)</t>
  </si>
  <si>
    <t>Эффектная высокорослая цинния с лиловыми кактусовидными соцветиями 6-10 см в диаметре.  Образует мощный, ветвистый от основания куст высотой 90 см. Цветение продолжительное и обильное  с июля по сентябрь. Цинния светолюбива, засухоустойчива и теплолюбива.</t>
  </si>
  <si>
    <t>4601431081420</t>
  </si>
  <si>
    <t>Ц Цинния Перелив Лососевый 6 шт.(Гав)</t>
  </si>
  <si>
    <t>Однолетник. Низкорослый кустик высотой 20 см буквально усыпан великолепными по красоте соцветиями (7 см). Цветет обильно и продолжительно с середины июня до заморозков. Используют в клумбах, рабатках, горшках и для срезки. Цветы долго стоят в воде, сохраняя яркость окраски. Цинния светолюбива, теплолюбива и очень засухоустойчива. Размножают семенами через рассаду.</t>
  </si>
  <si>
    <t>4601431011250</t>
  </si>
  <si>
    <t>Ц Цинния Подарок маме 0,3гр.(Гав)</t>
  </si>
  <si>
    <t>Однолетник. Растение высотой 60-90 см. Соцветия — корзинки 10-12 см в диаметре, красного цвета. Размножают семенами через рассаду, так как цинния чувствительна даже к самым легким заморозкам. Используют в клумбах, рабатках, больших массивах и для срезки. Особенно хорошо циннии смотрятся группой. Цветы долго стоят в воде, сохраняя яркость окраски.</t>
  </si>
  <si>
    <t>4601431103375</t>
  </si>
  <si>
    <t>Ц Эспостоа шерстистая (Кактус) Снежинка* 4 шт. (Гав)</t>
  </si>
  <si>
    <t>Древоподобный кактус эспостоа сплошь покрыт тонкими, длинными, белыми волосками и напоминает пушистое облачко, что смотрится очень эффектно. Стебель столбообразный, нередко разветвленный, внешне напоминающий канделябр. Основной ствол и побеги окрашены в зеленый с легким сероватым оттенком цвет. Цветки диаметром 3-5 см, нежных пастельных оттенков — белые, зеленоватые или розовые, воронковидные, появляются сбоку от вершины стеблей, в пушистом цефалии, открываются в ночные часы. Высота растения в комнатной культуре не превышает 1-2 м. Весной и летом кактусы содержат при температуре от 18оС до 30оС, а зимой, в период покоя, при температуре 10-12оС. Для роста и развития растению необходимо самое ярко освещенное место в любое время года. Размножают черенками и семенами.</t>
  </si>
  <si>
    <t>4601431113510</t>
  </si>
  <si>
    <t>Ц Эустома Джульетта синяя 4 шт. гранул. пробирка (Гав)</t>
  </si>
  <si>
    <t>Серия «Джульетта» японской селекции рассказывает о чувствах юной, влюбленной красавицы и лиричной истории любви. Цветочные композиции эустом разных цветов этой серии создадут уют и хорошее настроение в саду, на открытых террасах, патио на подоконнике. Растения компактные высотой 15-25 см, обильноцветущие однородные по своему составу. Цветы махровые, сине-фиолетовые диаметром 6 см. Зацветают рано. Предназначаются для выращивания в контейнерах, горшках, различных балконных ящиках.</t>
  </si>
  <si>
    <t>4601431043640</t>
  </si>
  <si>
    <t>Ц Эустома Эхо белая 4 шт. гранул. пробирка (Гав)</t>
  </si>
  <si>
    <t>Роскошное и очень нежное однолетнее растение из семейства Горечавковые. Стебли высотой до 70 см, сильные, прочные, способные выдержать крупные, плотные, махровые цветки. Изысканные оттенки и 100% махровость сделала эту серию фаворитом на рынке срезочных лизиантусов. Довольно крупные (5-6 см) белые цветки, в пору цветения похожи на полуоткрытые бутоны розы, с атласными, спиралевидно расположенными лепестками. Предпочитает солнечные места, окультуренную почву, регулярные поливы и опрыскивания.</t>
  </si>
  <si>
    <t>4601431077591</t>
  </si>
  <si>
    <t>Ц Эустома Эхо пурпур F1 4 шт. гранул. пробирка (Гав)</t>
  </si>
  <si>
    <t>оскошное и очень нежное однолетнее растение из семейства Горечавковые. Стебли высотой до 70 см, сильные, прочные, способные выдержать крупные, плотные, махровые цветки. Изысканные оттенки и 100% махровость сделала эту серию фаворитом на рынке срезочных лизиантусов. Довольно крупные (5-6 см) пурпурные цветки, в пору цветения похожи на полуоткрытые бутоны розы, с атласными, спиралевидно расположенными лепестками. Предпочитает солнечные места, окультуренную почву, регулярные поливы и опрыскивания. Для получения цветущих растений в июле-августе посевы производят в конце февраля-начале марта. Семена мелкие, их не присыпают, оставляя на поверхности субстрата, увлажняют из распылителя и накрывают стеклом. Всходы появляются через 10-15 дней при температуре +20-21оС. Необходим свет. Сеянцы пикируют в стадии 2-3-х настоящих листьев в отдельные горшки. В грунт высаживают, когда минует угроза заморозков. Используют для украшения клумб, рабаток, бордюров и срезки.</t>
  </si>
  <si>
    <t>4601431003262</t>
  </si>
  <si>
    <t>Ц Эхинацея Красная шляпа (мн) 0,1гр.(Гав)</t>
  </si>
  <si>
    <t>Многолетнее травянистое растение из семейства Астровых высотой до 1 м. Цветет в августе-сентябре. Цветы крупные (до 10-12 см в диаметре) пурпурной окраски. Хорошо растет на солнечных участках с удобренными почвами, обработанными на глубину 20 см. Взрослые растения зимуют без укрытия, молодые желательно укрывать. Семена высевают в мае в открытый грунт с последующим прореживанием по схеме 40х50 см. Зацветает на второй год. Используют для посадки в группах, рабатках, миксбордерах, для получения срезки.</t>
  </si>
  <si>
    <t>4601431098442</t>
  </si>
  <si>
    <t>Ц Эхинацея Полянка (мн) 0,1 гр. (Гав)</t>
  </si>
  <si>
    <t>Очень эффектное, травянистое, многолетнее растение из семейства Астровые, которое выращивают не только в лечебных, но и декоративных целях. Красивая форма, нежно-пурпурная окраска цветка, а также долгое и обильное цветение делает культуру очень популярной у садоводов. Соцветия крупные, до 12 см в диаметре, напоминают соцветия большой ромашки, с необычным и легким ароматом. Отличный медонос. Хорошо себя чувствует на солнечных участках с удобренными почвами. Взрослые растения зимуют без укрытия, молодые желательно укрывать. Используют для срезки, они долго стоят в воде.</t>
  </si>
  <si>
    <t>4601431041622</t>
  </si>
  <si>
    <t>Ц Эшшольция Сливовое вино 0,2 гр (Гав)</t>
  </si>
  <si>
    <t>Неприхотливое привлекательное растение из семейства Маковые высотой до 35 см, с серебристо-зелеными ажурными листьями и пурпурно-фиолетовыми цветками (4-5 см в диаметре) на тонких цветоносах. Цветение обильное, начинается в первой половине июля и продолжается до заморозков. Светолюбива, засухоустойчива, холодостойка. Предпочитает сухие солнечные места, не переносит избытка влаги. Выращивают прямым посевом в грунт в конце апреля - начале мая или в октябре. Всходы появляются через 10-14 дней, их прореживают на расстоянии 20 см. Используется для посадки на клумбах, в рабатках, бордюрах и группах, а также в контейнеры и вазы.</t>
  </si>
  <si>
    <t>4601431036895</t>
  </si>
  <si>
    <t>Цветочный газон Барская усадьба 30,0 гр. (Гав)</t>
  </si>
  <si>
    <t>Роскошная цветущая поляна подарит много приятных минут и не доставит хлопот по выращиванию. Смесь из газонных трав, неприхотливых однолетних и многолетних цветов создана специально для городских жителей, которые не могут обеспечить регулярный и полноценный уход за садом на даче. Поможет украсить и оживить приусадебные участки, детские лужайки, послужит отличным материалом для профессиональных озеленителей. Входящие в состав газона цветочные культуры подобраны с учетом высоты растений и сроков посева, цветут поочередно и обильно в течение всего лета; засухоустойчивы, не нуждается в регулярных поливах. Выращивают прямым посевом в открытый грунт в апреле — мае.</t>
  </si>
  <si>
    <t>4601431036918</t>
  </si>
  <si>
    <t>Цветочный газон Городские цветы 30,0 гр. (Гав)</t>
  </si>
  <si>
    <t>Смесь состоит из газонных трав, однолетних и многолетних цветочных культур устойчивых к задымлению, загазованности и тяжелым металлам, прекрасно растет в неблагоприятных экологоческих условиях и обильно цветет в течение всего лета. Рекомендуется для озеленения парков, придорожных зон, разделительных полос автострад и других мест с агрессивным воздействием окружающей среды</t>
  </si>
  <si>
    <t>4601431036888</t>
  </si>
  <si>
    <t>Цветочный газон Цветочная симфония 30,0 гр. (Гав)</t>
  </si>
  <si>
    <t>Яркий, жизнерадостный газон из любимых однолетних и многолетних цветочных культур поможет со вкусом оформить Ваш сад, подарит комфорт и наслаждение, сэкономит время и силы по уходу за цветником. Входящие в состав сорта тщательно подобраны с учетом высоты, времени цветения и цветовой гаммы. Газон идеально подходит для создания садов в сельском стиле, цветущих композиций вокруг зданий, озеленения детских площадок, парков, скверов. Обильно и непрерывно цветет в течение всего лета. Засухоустойчива, не нуждается в регулярных поливах. Выращивают прямым посевом в открытый грунт в апреле — мае. Рекомендуемая норма высева 2-5 г/м2.</t>
  </si>
  <si>
    <t>4601431048843</t>
  </si>
  <si>
    <t>Чабер Ароматный 0,1 гр. Уд.с. (Гав)</t>
  </si>
  <si>
    <t>Среднеспелый (45-48 дней от полных всходов до цветения) сорт, высотой до 50 см, с хорошо развитым главным стеблем. Цветок светло-фиолетовый. Лист ланцетный, темно-зеленый. Обладает сильной ароматичностью. Побеги и листья используют в свежем и сушеном виде в кулинарии (салатах, супах, в различных блюдах), для ароматизации маринадов, при консервировании. Чабер обладает ярко выраженными бактерицидными, болеутоляющими свойствами, применяется при заболеваниях ЖКТ, почек, печени, при диабете, как успокаивающее средство, улучшает аппетит.</t>
  </si>
  <si>
    <t>4601431010796</t>
  </si>
  <si>
    <t>Чабер Горный 0,1 гр.(Гав)</t>
  </si>
  <si>
    <t>Сильноветвистый полукустарник высотой 30-40 см, выращивающийся в средней полосе в однолетней культуре, в южных регионах как многолетник. Растение с пушистыми густо облиственными стеблями и мелкими кожистыми листьями. Его можно высадить как декоративное растение на альпийской горке, выращивать в качестве пряности, пригоден он и для бордюров. В первый год развития при посеве семенами образует только вегетативные побеги, цветение наступает на второй год. Наиболее активный рост побегов наблюдается в начале июня, массовое цветение наступает в июле – августе и продолжается от 30 до 50 дней. Плоды созревают к сентябрю–октябрю. Лекарственное действие чабера – спазмолитическое, бактерицидное, вяжущее. В качестве приправы можно срывать молодые листья, однако и высушенный чабер является превосходной крепкой пряностью.</t>
  </si>
  <si>
    <t>4601431109506</t>
  </si>
  <si>
    <t>Чуфа Нафаня 10 гр. (Гав.)</t>
  </si>
  <si>
    <t>Чуфа или земляной миндаль — многолетнее травянистое растение семейства осоковые. Синонимы: сыть съедобная, тигровый орех, зимовник, ореховый ситник и др. Культивируется как однолетнее пищевое растение из-за съедобных клубеньков на корнях. Относится к роду сыть. Высота растения 30–70 см. Корневая система хорошо развита и разветвлена, в ней образуются маленькие клубеньки. По форме они овальные, иногда вытянутые, шириной до 1 см и длиной до 3 см. На одном растении образуется 200–400 шт. клубеньков. Высевают в конце апреля–начале мая по схеме 30x50 см. Начало плодоношения через 70 дней после всходов. Урожайность 0,5–1,0 кг/м2.</t>
  </si>
  <si>
    <t>4601431090125</t>
  </si>
  <si>
    <t>Шпинат Ратник 2 г (Гав)</t>
  </si>
  <si>
    <t>Шпинат рекомендован диетологами, как важный компонент питания для сохранения здоровья и увеличения продолжительности жизни. Высокое содержание витамина А, С, белка, железа в легкодоступной для организма человека форме и других витаминов и микроэлементов в листьях, помогает при анемии, гипертонии и диабете. Гарниры и салаты из шпината нормализуют пищеварение и благотворно влияют на зрение. Сорт среднеспелый (от всходов до уборки 46 дней). Розетка полуприподнятая (что исключает сильное загрязнение зелени во время дождей) с 9-10 листьями. Диаметр розетки 29-33 см, масса 50 г. Лист зеленый, треугольной формы с ровным краем, слегка морщинистый, длинной 17 см, шириной 8 см. Выращивают посевом семян в открытый грунт весной (в конце апреля-мае) и поздним летом (в августе).</t>
  </si>
  <si>
    <t>4601431071261</t>
  </si>
  <si>
    <t>Горох Амброзия 5 гр. б/п (Гав)</t>
  </si>
  <si>
    <t>Скороспелый (55-56 дней от всходов до начала сбора бобов) сахарный сорт. Посев ранней весной на солнечной стороне участка, на глубину 4-6 см. Сбор урожая в июне - июле. В пищу используется молодой боб-лопатка с зачаточными семенами. Бобы слабоизогнутые, длинные, широкие, в технической спелости светло-зеленые. В каждом бобе завязывается 7-8 штук горошин. Стенки бобов толстые, мясистые, на вкус сладкие, без наличия пергаментного слоя. Это ценный поливитаминный диетический продукт, используемый как белковый компонент в питании. Схема посева 15x30 см. Растениям требуется подвязка.</t>
  </si>
  <si>
    <t>4601431071421</t>
  </si>
  <si>
    <t>Капуста б/к Подарок 0,3 гр. б/п Уд.с. (Гав)</t>
  </si>
  <si>
    <t>Среднеспелый (114-134 дня от всходов до технической спелости) сорт. Посев на рассаду в середине марта – начале апреля. Пикировка в фазе семядолей. Высадка в грунт в середине мая по схеме 50х30 см. Розетка листьев средняя, полуприподнятая. Кочан круглый и плоскоокруглый, массой 2,7-4,4 кг, высокой плотности. Наружная окраска серо-зеленая, имеется восковой налет. Сорт характеризуется хорошей лежкостью и стабильной урожайностью. Вкусовые качества хорошие. Рекомендован для потребления в свежем виде, для квашения и длительного хранения</t>
  </si>
  <si>
    <t>4601431071841</t>
  </si>
  <si>
    <t>Огурец Зозуля F1 0,2 г б/п Уд. с.(Гав)</t>
  </si>
  <si>
    <t>Скороспелый партенокарпический гибрид, период от всходов до начала плодоношения 43-47 дней. Предназначен для открытого грунта и пленочных укрытий. Зеленцы цилиндрические, редкобугорчатые, длиной 15-20 см и массой 150-250 г. Вкус отличный, без горечи. Гибрид характеризуется длительным периодом плодоношения с  массированной отдачей урожая в первый месяц созревания.</t>
  </si>
  <si>
    <t>4601431065864</t>
  </si>
  <si>
    <t>Руккола (Индау) Римские каникулы 1,0 гр  б/п (Гав)</t>
  </si>
  <si>
    <t>Эта приятная во всех отношениях зеленная культура стала популярна благодаря итальянской кухне. И действительно рукола обладает очень интересным многогранным вкусом. Тут и яркие горчичные нотки, и легкое послевкусие свежих оливок. Прекрасно сочетается с любыми свежими овощами, мясом, морепродуктами, дополняет сэндвичи и бутерброды. Руколу можно сажать очень рано, даже в комнатных условиях на окне она чувствует себя прекрасно и быстро (через 20-25 дней после всходов) дает полноценный урожай зелени. Посев семян производят регулярно с начала сезона по август непосредственно в грунт, на глубину 1 см. Растение неприхотливо. Предназначено для выращивания в открытом грунте, под пленочными укрытиями, в качестве горшечной культуры на подоконнике. Урожайность 1,0-1,3 кг/м2.</t>
  </si>
  <si>
    <t>4601431071315</t>
  </si>
  <si>
    <t>Руккола (Индау) Сан Ремо 0,5 гр  б/п Уд.с. (Гав)</t>
  </si>
  <si>
    <t>Однолетнее (от всходов до уборки зелени 20-24 дня) травянистое растение семейства Крестоцветные. Популярный салатный овощ, с необычным пряным вкусом, содержащий большое количество полезных веществ. Употребляют руколу в свежем виде, добавляют в гарниры, соусы, первые блюда. Выращивают в открытом грунте, в качестве горшечной культуры на подоконнике, в контейнерах и ящиках на балконе. Высевать в горшки на окне можно с марта, а в балконные ящики с апреля, регулярно подсевая по мере уборки растений в течение всего сезона. Масса одной розетки 18-20 г. Урожайность зелени до 1,3 кг/м2.</t>
  </si>
  <si>
    <t>4601431021778</t>
  </si>
  <si>
    <t>Свекла Пабло 1гр. б/п (Гав)</t>
  </si>
  <si>
    <t>Среднеранний (78 дней) гибрид. Корнеплод округлой формы с тонкой кожицей. Мякоть нежная, темная, без колец. Масса корнеплода 180-200 г. Гибрид характеризуется высокой товарностью и выравненностью. Посев в грунт — конец апреля — начало мая. Рекомендован для использования в свежем виде и переработки. Урожайность 2,5-5,0 кг/кв.м.</t>
  </si>
  <si>
    <t>4601431072343</t>
  </si>
  <si>
    <t>Свекла Цилиндра 2 гр. б/п Уд.с. (Гав)</t>
  </si>
  <si>
    <t>Среднеспелый (120-130 дней от всходов до технической спелости) сорт. Розетка листьев полупрямостоячая. Корнеплод цилиндрический, темно-красный, диаметром 4-7 см, ровный, с небольшим заостренным кончиком, головка среднего размера, плоская, слегка выступает над поверхностью почвы. Мякоть темно-красная, без колец, с хорошими вкусовыми качествами. Масса корнеплода 250-600 г. Урожайность 7-10 кг/кв.м.</t>
  </si>
  <si>
    <t>4601431073104</t>
  </si>
  <si>
    <t>Трава для кошек Скакун 10 гр. б/п (Гав)</t>
  </si>
  <si>
    <t>Трава нравится всем кошкам, более того, они испытывают в ней потребность. Желательно, чтобы кошка всегда имела доступ к свежей траве. А если владелец не позаботится об этом, то объектом гастрономических интересов Мурки могут стать комнатные растения, многие из которых ядовиты, или (если кошка гуляет) - травка с ближайшего газончика, которая скорее повредит животному. Поэтому самым правильным решением будет завести специальный горшочек или ящик, предназначенный для выращивания свежей травки. Содержимое пакета посеять в любой субстрат (речной песок, земля и др.), обильно полить. При достижении травой высоты 10 см (через 10-15 дней после посева) кошка может лакомиться. Кошки могут питаться как с грядки, так и срезанной, измельченной травой, которую добавляют в корм. Выращивать свежую зелень можно круглый год. И не пугайтесь, если у кошки, которая недавно поела травы, начнется рвота. Это - нормально. Постоянно вылизывая себя, особенно во время линьки, кошки заглатывают большие комки собственной шерсти. Чтобы осво</t>
  </si>
  <si>
    <t>4601431078208</t>
  </si>
  <si>
    <t>Ц Флокс Калейдоскоп, Друммонда (смесь) 0,1 г б/п (Гав)</t>
  </si>
  <si>
    <t>Эффектная крупноцветковая смесь однолетних низкорослых сортов флокса с обильным цветением и ошеломляюще красивой окраской. Растения компактные, высотой 15-20 см. Цветки до 1,5-2 см в диаметре, собраны в щитковидные соцветия. Предпочитает солнечные места и легкие дренированные плодородные почвы с большим количеством органики (не свежего навоза!). Посев на рассаду - в марте-апреле, высадка в грунт - в мае через 15 см. Цветет с июня до заморозков. Используют в качестве клумбового и бордюрного растения, выращивают в контейнерах и горшках, на каменистых горках. Подходит для ярких мини-букетов.</t>
  </si>
  <si>
    <t>4601431039193</t>
  </si>
  <si>
    <t>Базилик Фиолетовый 0,3гр. Металлизир. ХИТ *3 (Гав.)</t>
  </si>
  <si>
    <t>хит</t>
  </si>
  <si>
    <t>4601431065772</t>
  </si>
  <si>
    <t>Капуста б/к Московская поздняя 15 0,1 г (для квашения) ХИТ х3 (Гав)</t>
  </si>
  <si>
    <t>Позднеспелый (115–141 день от всходов до технической спелости) сорт. Розетка листьев раскидистая, необходима более разреженная по сравнению с другими сортами схема посадки. Выращивают рассадным способом. Кочаны округлые или плоскоокруглые, на разрезе белые, сахаристые, отличного вкуса. Средняя масса кочана 3,5–4,5 кг (до 5–6 кг).</t>
  </si>
  <si>
    <t>4601431039636</t>
  </si>
  <si>
    <t>Лук Красный салатный репч. 0,5 г ХИТ х3 (Гав)</t>
  </si>
  <si>
    <t>Раннеспелый, урожайный сорт. Формирует небольшую луковицу и компактную темно-зеленую розетку листьев. Листья среднего размера, сочные, нежные, имеют приятный полуострый вкус. Сорт отличается высокой продуктивностью и устойчивостью к неблагоприятным условиям среды. Подходит для заморозки.</t>
  </si>
  <si>
    <t>4601431039360</t>
  </si>
  <si>
    <t>Морковь Самсон 0,3 гр. Металлизир. ХИТ*3 (Гав)</t>
  </si>
  <si>
    <t>Главный лидер продаж на территории России. Корнеплоды этого сорта обладают отменными вкусовыми качествами, длительное время хранятся и содержат в себе огромное количество полезных микроэлементов</t>
  </si>
  <si>
    <t>4601431063242</t>
  </si>
  <si>
    <t>Мята Ясная нотка садовая 0,05 г. ХИТ *3 (Гав.)</t>
  </si>
  <si>
    <t>Этот сорт садовой мяты, как и любой другой сорт мяты относится к семейству "губоцветные", образует кустики высотой до 65 см в высоту с прямостоячими стеблями. Форма листа у мяты овальная зеленого цвета с антоциановой оттенком.</t>
  </si>
  <si>
    <t>4601431076846</t>
  </si>
  <si>
    <t>Огурец Апрельский 0,3 гр. ХИТ *3 (Гав)</t>
  </si>
  <si>
    <t>Скороспелый (45-50 дней от всходов до плодоношения) партенокарпический (не требует опыления) гибрид. Рекомендован для защищенного грунта. Пригоден для выращивания в комнатной культуре и на балконе. Зеленец цилиндрический, слабобугорчатый, зеленый, длиной 15-25 см, массой 200-250 г, не желтеет, хорошего вкуса. Универсального назначения. Ценность гибрида -холодостойкость, дружное и продолжительное плодоношение, большие урожаи (до 24 кг/м2). Урожайность в первый месяц плодоношения 7-13 кг/м2. Обладает комплексной устойчивостью к болезням огурца.</t>
  </si>
  <si>
    <t>4601431077003</t>
  </si>
  <si>
    <t>Подсолнечник Енисей 5 гр. Металлиз. ХИТ *3 (Гав.)</t>
  </si>
  <si>
    <t>Сорт относится к группе ультраскороспелых, вегетационный период от всходов до уборочной спелости 85-90 дней. Корзинка большая, до 25-40 см, слабо- или сильнонаклоненная. Растение среднерослое 140-170 см. Семена крупные овальной формы, черные, хорошо выполненные.</t>
  </si>
  <si>
    <t>4601431039476</t>
  </si>
  <si>
    <t>Редька Маргеланская 1,0 гр. Металлизир. (Гав.)</t>
  </si>
  <si>
    <t>Среднеспелый (60-80 дней от посева до уборки) сорт. Корнеплод зеленый, округлый или удлиненно-округлый, диаметром до 10 см, массой 200-400 г, поверхность гладкая или слегка бороздчатая. Мякоть нежно-зеленого цвета, сочная, хрустящая. Вкус неострый. Лежкость высокая. Выращивают посевом в открытый грунт. Урожайность до 6 кг/м2.</t>
  </si>
  <si>
    <t>4601431037571</t>
  </si>
  <si>
    <t>Салат Лолло Росса 0,5 гр. Металлизир. ХИТ*3 (Гав)</t>
  </si>
  <si>
    <t>Среднеранний (50-62 дня от полных всходов до уборки) сорт листового салата. Предпочитает плодородные, удобренные почвы. Выращивают рассадным и безрассадным способом. Розетка листьев полупрямостоячая, высотой 20 см, диаметром 30 см. Лист крупный, обратнотреугольной формы, красноватый, пузырчатый, сильноволнистый по краю, хрустящей консистенции. Ценится за привлекательный внешний вид и великолепный вкус. Масса растения 330 г. Урожайность 3,0 кг/м2.</t>
  </si>
  <si>
    <t>4601431039520</t>
  </si>
  <si>
    <t>Свекла Пабло 1 гр.  ХИТ*3 (Гав)</t>
  </si>
  <si>
    <t>Среднеранний (78 дней от всходов до технической спелости) гибрид. Розетка листьев прямостоячая. Корнеплоды идеальной формы, округлые, выровненные, темно-красные с тонкой кожицей, диаметром 8-12 см. Мякоть нежная, красная, без колец. Масса корнеплода 180-200 г.</t>
  </si>
  <si>
    <t>4601431095212</t>
  </si>
  <si>
    <t>Свекла Сахарная F1 РМС 121 1 г ХИТ х3 (Гав)</t>
  </si>
  <si>
    <t>Сахарная свекла богата сахарозой, микроэлементами и витаминами. Корнеплод удлиненный, массой 0,3–0,6 кг, с белой мякотью. Розетка листьев светло-зеленая. Корнеплод используют в кулинарии (цукаты), в качестве корма для животных.</t>
  </si>
  <si>
    <t>4601431086708</t>
  </si>
  <si>
    <t>Ц Годеция Гофре махровая смесь 0,05 г ХИТ х3   (Гав)</t>
  </si>
  <si>
    <t>Однолетнее декоративное растение из семейства Кипрейные высотой около 40 см. Цветет очень обильно со второй половины июля до заморозков. Цветки крупные (5-8 см в диаметре), махровые, разнообразной окраски. Холодостойка, светолюбива, не переносит избыточного увлажнения. Выращивают прямым посевом в грунт или рассадным способом. Используется для посадки на клумбах, рабатках и бордюрах, а также для получения срезки.</t>
  </si>
  <si>
    <t>4627075371413</t>
  </si>
  <si>
    <t>Томат Амазонка (Гисок)</t>
  </si>
  <si>
    <t>ГИСОК (ТомАгроС)</t>
  </si>
  <si>
    <t>Высокоурожайный гибрид среднераннего срока созревания, обладает комплексной устойчивостью к болезням и неблагоприятным погодным условиям. Растение высокорослое более 150 см. Соцветие простое с 8-12 красивыми плодами округлой формы с носиком, красного цвета, массой до 130 гр. Плоды плотные, высоких вкусовых качеств, с повышенным содержанием ликопина. Идеален для цельноплодного консервирования.</t>
  </si>
  <si>
    <t>4627075371925</t>
  </si>
  <si>
    <t>Томат Аметист (Гисок) 263242086</t>
  </si>
  <si>
    <t>Томат индетерминантный (высокорослый) и его высота способна превысить отметку в 180 см, но можно контролировать рост путем прищипывания. Кусты раскидистые и облиственные, а на кистях завязывается по 5-6 плодов. Сорт среднеспелый, срок созревания составляет 105-115 дней. Зрелые плоды имеют плоскоокруглую форму, средний размер и весят 150-220 г.</t>
  </si>
  <si>
    <t>4627075370973</t>
  </si>
  <si>
    <t>Томат Анжелика (Гисок)</t>
  </si>
  <si>
    <t>Очень ранний сорт. Растения низкорослые, высотой до 0,5 м, с большим количеством плодов округло-яйцевидной формы с носиком, массой 50-70 г, красного цвета. Сорт не требует пасынкования. Урожайность более 2 кг/растение. Рекомендуется для выращивания в открытом грунте.</t>
  </si>
  <si>
    <t>4627075371406</t>
  </si>
  <si>
    <t>Томат Афалина (Гисок) 540342140</t>
  </si>
  <si>
    <t>Требует подвязки и формирования растений. Салатный и для цельноплодного консервирования. Гибрид среднеспелый. Растение индетерминантное. Лист среднего размера, темно-зеленый. Соцветие простое. Плодоножка с сочленением. Плод обратнояйцевидный, гладкий, средней плотности. Окраска незрелого плода светло-зеленая без пятна у плодоножки, зрелого - красная. Число гнезд 2-3. Масса плода 136 г. Вкус хороший. Транспортабельный. Урожайность товарных плодов в обогреваемых пленочных теплицах 8,7 кг/кв.м.</t>
  </si>
  <si>
    <t>4627075370454</t>
  </si>
  <si>
    <t>Томат Афина (Гисок)</t>
  </si>
  <si>
    <t>Высокоурожайный гибрид среднего срока созревания, обладает комплексной устойчивостью к болезням и неблагоприятным климатическим условиям. Растение высотой 1,5 м и выше, кисти простые и однократно разветвленные с 7-9 оригинальными плодами эллиптической формы, плотной консистенции, массой 100-110 гр, оранжевого цвета. Рекомендуется для обогреваемых и необогреваемых теплиц, укрытий и открытого грунта.</t>
  </si>
  <si>
    <t>4627075370775</t>
  </si>
  <si>
    <t>Томат Бедуин 25 шт. (Гисок)</t>
  </si>
  <si>
    <t>Салатно-консервный сорт с плодами грушевидной формы и оригинальной окраски, массой 90-110 г. Растения высотой до 1,5 м. Урожайность более 2 кг/растение. Рекомендуется для не обогреваемых теплиц и укрытий.</t>
  </si>
  <si>
    <t>4627075371888</t>
  </si>
  <si>
    <t>Томат Бисквит (Гисок)</t>
  </si>
  <si>
    <t>Высокоурожайный салатный сорт среднераннего срока созревания. Растение высотой до 1,1м, детерминантного типа, среднеоблиственное. Соцветие простое или промежуточное, с 6-7 плодами ярко- оранжевой окраски, цилиндрической формы, массой от 100 - 150г</t>
  </si>
  <si>
    <t>4627075370683</t>
  </si>
  <si>
    <t>Томат Болото (Гисок) 185799544</t>
  </si>
  <si>
    <t>Раннеспелый, крупноплодный сорт салатного назначения. Растения высотой до 1,3 м с необычными плодами плоскоокруглой формы массой 150-250 г, зеленой, слегка буроватой окраски с розовато-желто-коричневыми вкраплениями, имеют необыкновенный вкус, тонкую кожицу и нежную мякоть. Рекомендуется для обогреваемых и необогреваемых теплиц, укрытий и открытого грунта.</t>
  </si>
  <si>
    <t>4627075370850</t>
  </si>
  <si>
    <t>Томат Варвара (Гисок)</t>
  </si>
  <si>
    <t>Среднеранний сорт универсального назначения. Растение высотой 1,6-1,8 м, с 8-10 выровненным в кисти плодами, удлиненной цилиндрической формы с острым носиком, розово-малинового цвета, массой 70-90 г. Рекомендуется для обогреваемых и необогреваемых теплиц, укрытий и открытого грунта. Формировка растений – в один стебель с пасынкованием и подвязкой к опоре.</t>
  </si>
  <si>
    <t>4627075371796</t>
  </si>
  <si>
    <t>Томат Де-барао оранжевый (Гисок)</t>
  </si>
  <si>
    <t>Является индетерминантным, не штамбовым растением. Сроки созревания среднепоздние. От мента посадки до сбора первого урожая проходит 100-130 дней. Новые ветви вырастают по мере роста растения, обеспечивая постоянный и длительный урожай до сильных заморозков.</t>
  </si>
  <si>
    <t>4627075371789</t>
  </si>
  <si>
    <t>Томат Де-барао розовый (Гисок)</t>
  </si>
  <si>
    <t>Среднепоздний сорт универсального назначения. Растение высокорослое, свыше 1,5 м, с красивыми плодами овальной формы, массой 60-70 г, плотной консистенции, розового цвета. Рекомендуется для всех теплиц, укрытий и открытого грунта.</t>
  </si>
  <si>
    <t>4627075370300</t>
  </si>
  <si>
    <t>Томат Дивный (Гисок) 185799558</t>
  </si>
  <si>
    <t>Высокоурожайный гибрид средне-раннего срока созревания, с комплексной устойчивостью к болезням и неблагоприятным климатическим условиям. Растение среднерослое, 1,2-1,5 м, с 5-6 красивыми плодами в кисти оригинальной овально-яйцевидной формы, плотной консистенции, массой 115-140 г, оранжевого цвета. Плоды имеют большое количество сахаров и сухих веществ. Рекомендуется для обогреваемых и необогреваемых теплиц, укрытий и открытого грунта.</t>
  </si>
  <si>
    <t>4627075370904</t>
  </si>
  <si>
    <t>Томат Золотая рыбка (Гисок)</t>
  </si>
  <si>
    <t>Среднеранний сорт, универсального назначения. Растения высотой 1,6 м, кисти простые и однократно разветвленные с 5-7 красивыми плодами плотной консистенции овально-цилиндрической формы, оранжево-матового цвета, массой 90-120 г. Рекомендуется для обогреваемых и необогреваемых теплиц, укрытий и открытого грунта.</t>
  </si>
  <si>
    <t>4627075370942</t>
  </si>
  <si>
    <t>Томат Иллюзия (Гисок)</t>
  </si>
  <si>
    <t>Оригинальный сорт среднего срока созревания для теплиц, укрытий  и открытого грунта. Растение высотой до 1,5 м. Плоды насыщенно-желтые идеальной перцевидной формы, средней массой 70-80 грамм. Соответственно основное назначение сорта - фаршировка. Также хорош в салатах, по виду напоминая желтый перец.</t>
  </si>
  <si>
    <t>4627075370416</t>
  </si>
  <si>
    <t>Томат Красавчик (Гисок) 185799554</t>
  </si>
  <si>
    <t>Включен в Госреестр по Российской Федерации для выращивания под пленочными укрытиями в ЛПХ. Созревание плодов наступает на 104 день после полных всходов. Растение индетерминантное. Лист длинный, среднеширокий, зеленый. Соцветие простое. Плод цилиндрический с носиком, твердый, гладкий, окраска незрелого плода зеленая, зрелого — красная. Число гнезд 2-3. Масса плода 87 г. Вкус отличный. Товарная урожайность 13,6 кг/кв.м.</t>
  </si>
  <si>
    <t>4627075371864</t>
  </si>
  <si>
    <t>Томат Крымская роза спрей (Гисок)</t>
  </si>
  <si>
    <t>Сорт среднераннего срока созревания, универсального назначения. Растения высотой 1,2-1,5 м с крупными соцветиями сложного типа с множеством плодов оригинальной грушевидной формы, напоминающих бутон розы, малиновой окраски, массой до 50 г. Рекомендуется для обогреваемых и необогреваемых теплиц, укрытий и открытого грунта. Формировка растений – в два стебля с пасынкованием и подвязкой к опоре. Особенности сорта: Плоды обладают высокими вкусовыми качествами, а также повышенным содержанием ликопина. Прекрасен в свежем виде и консервировании. Плоды сохраняют декоративность будучи законсервированными в ассорти с плодами другого цвета и формы. Растения этого сорта могут быть использованы как декоративные при выращивании на балконах и лоджиях.</t>
  </si>
  <si>
    <t>4627075370799</t>
  </si>
  <si>
    <t>Томат Лампа Аладдина (Гисок)</t>
  </si>
  <si>
    <t>Среднеспелый, индетерминантный, желтоплодный сорт томата для теплиц, укрытий и открытого грунта. Куст высотой до 1,5 м, требуется подвязка к опоре и пасынкование. Плоды грушевидные, чуть ребристые к плодоножке, плотные, в стадии зрелости золотисто-оранжевого цвета, весом 120-300 г, отличного вкуса. Эти помидоры хороши как для свежего потребления, так и для консервирования. Достоинства сорта: оригинальность формы и окраски плодов, хорошая лежкость, повышенное содержание бета-каротина.</t>
  </si>
  <si>
    <t>4627075371710</t>
  </si>
  <si>
    <t>Томат Лонг Кипер (Гисок)</t>
  </si>
  <si>
    <t>Лонг Кипер – детерминантный, очень поздний (120-130 дней), среднерослый сорт томата. Высота куста достигает одного метра. Плоды плотной консистенции, массой 150-300 г, многокамерные, плоскоокруглой формы, с гладкой или слаборебристой поверхностью, розовато-жемчужные, иногда с желтым оттенком. Рекомендуется для открытого грунта и пленочных укрытий.</t>
  </si>
  <si>
    <t>4627075371635</t>
  </si>
  <si>
    <t>Томат Микулич (Гисок) 185799546</t>
  </si>
  <si>
    <t>Высокоурожайный крупноплодный гибрид среднего срока созревания. Растение высотой 1,6 м и более, с 4-5 плодами в кисти. Плод плоско-округлый, плотный, слаборебристый, окраска незрелого плода светло-зеленая, зрелого - красная. Масса плода 250-270 г. Вкус отличный. Товарная урожайность 12,6 кг/м2. Устойчив к нематоде, ВТМ, фузариозу и кладоспориозу. Рекомендуется для обогреваемых и необогреваемых теплиц, укрытий.</t>
  </si>
  <si>
    <t>4627075370287</t>
  </si>
  <si>
    <t>Томат Орфей (Гисок)</t>
  </si>
  <si>
    <t>Ультраскороспелый гибрид томата. От полных всходов до созревания плодов 80-85 дней. Растение скороспелого томата Орфей F1 - детерминантного типа, среднеоблиственное, высотой 50-60 см. Соцветие простое с 5-6 плодами. Плоды у раннего томата Орфей F1 крупные, плотные, плоско-округлой формы, гладкие, ярко-красного цвета, без зеленого пятна у плодоножки, массой 120-130 г. Урожайность в открытом грунте составляет - 80-100 т/га, 12-15 кг/м 2 - в пленочных укрытиях.Рекомендуем выращивать ультраранний гибрид томата Орфей F1 через рассаду (кассетный способ - высев семян в кассеты). Гибрид томата Орфей F1 устойчив к ВМТ, бактериозу, альтернариозу. Ценность ультрараннего гибрида Орфей F1: ультраскороспелость, высокая выравненность и товарность плодов, отличные вкусовые качества.</t>
  </si>
  <si>
    <t>4627075370621</t>
  </si>
  <si>
    <t>Томат Розовый слон (Гисок)</t>
  </si>
  <si>
    <t>Крупноплодный салатный сорт среднераннего срока созревания. Растение высотой 1,5-1,6 м, с плодами малиново-розовой окраски, плотной консистенции, массой 250-300 г, высоких вкусовых качеств. Урожайность 2,5-3 кг/растение. Рекомендуется для теплиц, укрытий и открытого грунта (южные регионы).</t>
  </si>
  <si>
    <t>4627075370065</t>
  </si>
  <si>
    <t>Томат Семенычъ  (ГИСОК)</t>
  </si>
  <si>
    <t>Гибрид раннего срока созревания с дружной отдачей урожая и комплексной устойчивостью к болезням. Растения высотой 0,9-1,2 м, с плотными плодами овальной формы массой 90-110 г. Специально предназначен для цельного консервирования. Урожайность более 3 кг с растения. Выращивается в один-два стебля с пасынкованием и подвязкой к опоре. Рекомендуется для не обогреваемых теплиц и укрытий</t>
  </si>
  <si>
    <t>4627075371383</t>
  </si>
  <si>
    <t>Томат Стадо бегемотов 10 шт. (Гисок)</t>
  </si>
  <si>
    <t>Высокоурожайный сорт среднего срока созревания, обладает комплексной устойчивостью к болезням и неблагоприятным климатическим условиям. Растение низкорослое высотой до 1 м. Соцветие компактное, с 5-7 красивыми плодами плоскоокруглой формы. Плоды плотные, розового цвета, массой 270-300 гр. Формирование - в один-два стебля с пасынкованием и подвязкой к опоре.</t>
  </si>
  <si>
    <t>4627075371857</t>
  </si>
  <si>
    <t>Томат Фантазер (Гисок)</t>
  </si>
  <si>
    <t>Среднеранний сорт универсального назначения. Растение высокорослое, (высотой 1,6-1,8 м), индетерминантного типа. Соцветие простого типа с 8-10 плодами массой 50-60 г. Плод цилиндрической формы с небольшим носиком. Окраска плодов не оставит никого равнодушным. При полном созревании возле плодоножки фиолетовые, остальной фон зеленый с желто-, оранжево-, фиолетово-розовыми вкраплениями. В разрезе - зеленый. Такие плоды послужат прекрасным украшением блюд. Вкус - сладковатый с приятной кислинкой, нежный.</t>
  </si>
  <si>
    <t>4627075371703</t>
  </si>
  <si>
    <t>Томат Хурма (Гисок)</t>
  </si>
  <si>
    <t>Сорт относят к детерминантной группе томатов, которые прекращают расти вверх, когда завязь с плодами образуется на конце побега. Дальнейший рост растений продолжается из пасынка, растущего из листа ниже. Предназначен для выращивания в открытом грунте и необогреваемых теплицах. Кусты сильнооблиственные, слабоветвистые, высотой 60-80 см. Срок созревания: среднеспелый, от посева до технической зрелости плодов потребуется 110-115 суток. Урожайность: при выращивании в тепличных условиях с одного куста можно собрать около 6 кг томатов, а в открытом грунте 4-5 кг. Плодоношение наступает в середине или конце июля, в зависимости от региона, и может продолжаться в течение пяти месяцев, вплоть до первых заморозков. Плоды плоскоокруглые, крупноразмерные с кожурой золотисто-оранжевого цвета, сочной, нежной и мясистой мякотью.</t>
  </si>
  <si>
    <t>4627075370645</t>
  </si>
  <si>
    <t>Томат Черный слон (Гисок)</t>
  </si>
  <si>
    <t>Среднеспелый, индетерминантный (неограниченного роста) салатный сорт томата. Рекомендован для выращивания в теплицах в средней полосе, в открытом грунте в южных регионах. Растения высотой 1,2-1,6 метра, плоды плоскоокруглой формы, необычной темно-коричневой окраски и темно-розовой мякотью, оригинального вкуса, массой свыше 200-350 г.</t>
  </si>
  <si>
    <t>4627075371734</t>
  </si>
  <si>
    <t>Томат Чудо света (Гисок)</t>
  </si>
  <si>
    <t>Описание любого сорта начинается с вида кустов – индетерминантные, штамбовые и среднеспелые. Проходит где-то 100-110 полных дней, если считать от высадки (рассады) и до появления зрелых плодов.
Биологи советуют выращивать лучше в теплицах, но в принципе, неплохо приживаются и в условиях открытого грунта. Единственное, может страдать урожайность и есть риск повреждений, если регион посещают сильные ветра. Сам сорт довольно устойчив ко многим заболеваниям овощей.</t>
  </si>
  <si>
    <t>4627075371741</t>
  </si>
  <si>
    <t>Томат Юбилейный Тарасенко (Гисок)</t>
  </si>
  <si>
    <t>Среднеранний сорт универсального назначения. Растение высотой до 1,6 м с крупными соцветиями сложного типа с большим количеством плодов округло-яйцевидной формы с носиком, массой 60-120 г, красного цвета. Рекомендуется для обогреваемых и необогреваемых теплиц, укрытий и открытого грунта.</t>
  </si>
  <si>
    <t>4627075370232</t>
  </si>
  <si>
    <t>Томат Ярославна (Гисок)</t>
  </si>
  <si>
    <t>Скороспелый высокоурожайный гибрид с комплексной устойчивостью к болезням. Растение высотой до 1,5 м, с округлыми и плоско-округлыми плодами массой 120-150 г. Выращивать в один стебель с пасынкованием и подвязкой к опоре. Урожайность 5-6 кг/растение. Предназначен для обогревае­мых и не обогреваемых теплиц.</t>
  </si>
  <si>
    <t>4627075371963</t>
  </si>
  <si>
    <t>Тыква Московская ароматная -536 (Гисок)</t>
  </si>
  <si>
    <t>Среднеспелый сорт, универсального назначения. Растение плетистое. Главная плеть средней длины, на котором образуется 3-5 плодов. Плод грушевидной формы, гладкий, средней длины, со слабой шейкой и расширением у вершины, диаметр маленький, оранжево-коричневый со слабой мраморностью. Масса плода - 2 кг. Плоды сохраняют товарные качества в течение 60 дней после съема. Мякоть желтовато-оранжевая, средней толщины, хрустящая, средней плотности, сочная с ароматом дыни.</t>
  </si>
  <si>
    <t>2000189420017</t>
  </si>
  <si>
    <t>Ашваганда Индийский Женьшень 5шт (Гр) 277871723</t>
  </si>
  <si>
    <t>Григорьев</t>
  </si>
  <si>
    <t>Ашваганда или индийский женьшень (лат. Withania somnifera) - растение-многолетник из семейства пасленовых. Представляет собой вечнозеленый кустарник высотой до 1 м и шириной до 0,5 м.  Предпочитает хорошо дренированные почвы, но в целом к составу и кислотности почв нетребовательна. Солнцелюбива. Место для посадки лучше выбирать ветрозащищенное. Не очень холодостойка, но может выращиваться как однолетник, цветущий и плодоносящий в первый же год после посадки (в таком случае выращивается сначала рассада). Также отлично подходит для комнатного выращивания. При выращивании дома Ашваганда будет цвести несколько раз в год. В лечебных целях применяются плоды, корни, листья и кора. Несмотря на то, что все части растения полезны, корень ашваганды является кладезем полезных веществ, и именно он является универсальным средством борьбы со многими заболеваниями. Для домашнего применения можно использовать листья и веточки, добавляя их в чай. В них содержатся те же вещества, что и в корне, но только в меньшем количестве. С</t>
  </si>
  <si>
    <t>2000250890015</t>
  </si>
  <si>
    <t>Горох Домашнее Лакомство карликовый 10 г (Гр)</t>
  </si>
  <si>
    <t>Скороспелый (55–60 дней) сорт отличается высокой урожайностью. Растение достигает высоты 40-50 см, поэтому не нуждается в опоре. Этот сорт идеально подходит для выращивания в домашних условиях. Стручки тёмно-зелёного цвета, длиной около 9-12 см. Горошины крупные и сочные, содержат больше сахаров и меньше крахмала, чем другие сорта. Вкус у них более сладкий и нежный. Сорт обладает устойчивостью к полеганию, высокой урожайностью и универсальностью использования. Его можно употреблять в свежем виде, а также консервировать или замораживать.</t>
  </si>
  <si>
    <t>2000254930014</t>
  </si>
  <si>
    <t>Горох Нут турецкий 25 г (Гр) 315842277</t>
  </si>
  <si>
    <t>Травянистое растение из семейства бобовых, близкое к сое, фасоли, гороху и арахису. Это третья по популярности бобовая культура в мире, уступая только сое и фасоли. Его дикий предок до сих пор растет на юго-востоке Турции, где он стал культурным растением. Сегодня нут выращивается во многих странах, включая Индию, Австралию, Эфиопию, Турцию, Мьянму и Россию. Растение достигает высоты 50-60 см и образует густые заросли. В его стручках находится от 1 до 4 горошин, которые используются в кулинарии. Свежие стручки и семена съедобны, но большая часть урожая идет на длительное хранение и консервирование. Листья и незрелые стручки используются в азиатской кухне, а сухие стебли – в качестве корма для животных. Нут богат антиоксидантами, витаминами и минералами, включая фолиевую кислоту, магний, витамин В6, витамин С, железо, калий, кальций, фосфор и цинк. Он также содержит много белка и клетчатки, что делает его альтернативой мясу для вегетарианцев.</t>
  </si>
  <si>
    <t>2000263700011</t>
  </si>
  <si>
    <t>Дыня Американский Ананас (Ananas d’Amerique) 10 шт. (Гр)</t>
  </si>
  <si>
    <t>Аромат, плотность и сочность! Овальные плоды массой около 2 кг созревают с тонкой светло-жёлтой кожицей, покрытой деликатной сеточкой. Мякоть кремово-белая с насыщенно-сладким вкусом и сильным ароматом. Семенная камера почти не отделена от мякоти, что делает каждый срез максимально сочным и плотным. Плоды особенно хороши свежим, но не теряют привлекательности и при лёгкой термообработке. Отлично показывают себя при вялении, в десертах и салатах. Сорт стабильно плодоносит, не капризен к условиям, отлично хранится при комнатной температуре.</t>
  </si>
  <si>
    <t>2000217590019</t>
  </si>
  <si>
    <t>Дыня экзотическая Charentais 15шт. (Гр)</t>
  </si>
  <si>
    <t>Сорт раннеспелый (80-85 дней от посева семян). Растение плетистое. Плод широкоэллиптический, сегментированный, темно-зеленый с сероватым оттенком, сетка толстая, густая. Масса плода – 1-1,5 кг. Мякоть ароматная, сочная, сладкая, с высоким содержанием сахаров и каротина. Аромат необычный, приятный, с оттенками дыни, банана и маракуйи с нотками меда. Урожайность товарных плодов – 100 ц/га.</t>
  </si>
  <si>
    <t>2000251260015</t>
  </si>
  <si>
    <t>Дыня-малышка Арбузная 5шт. (Гр) 301412145</t>
  </si>
  <si>
    <t>Раннеспелый сорт, который созревает за 40-50 дней. Растение имеет средние зелёные округлые листья и среднеплетистое строение. На главной плети образуется 2-3 побега второго порядка и 1-2 третьего. Плоды по форме напоминают маленькие арбузики, они округло-вытянутые и могут достигать массы до 500 г. Молодые зеленцы очень вкусные, хрустящие, с нежной мякотью, в биологической спелости становятся очень сладкими, с тонкой кожицей. Аромат этих плодов – это смесь ароматов арбуза и дыни, что делает их истинным лакомством для детей и взрослых! Из зрелых плодов можно приготовить очень ароматное варенье, пастилу, повидло и другие сладкие кондитерские изделия. Этот сорт отличается высокой урожайностью и болезнестойкостью. Он также холодостойкий и засухоустойчивый.</t>
  </si>
  <si>
    <t>2000265150012</t>
  </si>
  <si>
    <t>Дыня-малышка Золотое Красное Яйцо 5шт. (Гр)</t>
  </si>
  <si>
    <t>Этот старинный китайский коллекционный сорт относится к сахарному подвиду и созревает всего за 55 дней. Растение мощное, до 3 м, с короткими плетями 2-3 порядков – компактное и урожайное. Плоды овальные, до 5 см в диаметре, с необычной светло-коричневой кожурой, будто покрытой природной патиной. Вес – 100-200 г, но урожайность впечатляет: до 30 плодов с куста, созревающих непрерывно до самых заморозков. Мякоть – белая, нежная, сочная, с маслянистой текстурой, насыщенной сладостью и ярким, стойким ароматом. Кожура очень тонкая, семена почти не ощущаются – дыньки едят целиком, прямо с грядки. Сорт высокоустойчив к болезням, засухе и прохладе, идеален для средней полосы и северных регионов, где большинство дынь не успевает вызреть. Здесь он – редкость, но настоящая находка. Плоды вкусны в свежем виде, а также идут на варенье, повидло, джемы, настойки и домашнее вино.</t>
  </si>
  <si>
    <t>2000265140013</t>
  </si>
  <si>
    <t>Дыня-малышка Красная Земля 5шт. (Гр)</t>
  </si>
  <si>
    <t>Этот сахарный сорт созревает всего за 55 дней. Растение мощное, до 3 метров, с короткими плетями 2-3 порядков. Плоды небольшие – 100-200 г, округлые или овальные, с ярко-оранжевой кожурой и желтоватыми полосами, будто солнечные зайчики на грядке. Мякоть – светло-кремовая или нежно-оранжевая, сочная, маслянистая, сладкая, с насыщенным ароматом. Кожура очень тонкая, семена почти не ощущаются – дыньки едят прямо с куста, как лакомство. Урожайность впечатляет: до 30 плодов с куста, созревающих конвейером до самых заморозков. Сорт высокоустойчив к болезням, погодным перепадам и прохладе, отлично подходит для средней полосы, где большинство дынь не успевает вызреть. В южных регионах такие сорта – обычное дело, а здесь – редкое чудо. Плоды хороши в свежем виде, а также идут на варенье, джемы, повидло, настойки и вино.</t>
  </si>
  <si>
    <t>2000265130014</t>
  </si>
  <si>
    <t>Дыня-малышка Яблоко 5шт. (Гр)</t>
  </si>
  <si>
    <t>Сочетает в себе хруст свежего яблока и нежную сладость спелого мёда. Созревает всего за 50-60 дней, что делает её одним из самых скороспелых сортов в мире. Урожайность впечатляет – с одного куста можно собрать 15-20 плодов, а плодоношение продолжается аж до первых заморозков. Плоды небольшие, округлые или каплевидные, с исключительно тонкой и гладкой кожицей, которую не нужно снимать – дыню едят целиком. В технической спелости кора светло-зелёная или жёлтая с тёмно-зелёными полосами и пятнами, в биологической – приобретает серо-жёлтый оттенок с чётким зелёным рисунком. Мякоть – белоснежная, хрустящая, сочная, с ярко выраженным медовым вкусом и тонким ароматом, который остаётся в памяти надолго. Из зрелых плодов получаются по-домашнему ароматные заготовки: варенье, пастила, повидло и даже лёгкое фруктовое вино. Сорт высокоустойчив к засухе, перепадам температур, болезням и вредителям, почти не требует ухода. Плоды отлично хранятся и не боятся перевозок.</t>
  </si>
  <si>
    <t>2000118730019</t>
  </si>
  <si>
    <t>Иван-Чай 150 шт. (Гр) 313051961</t>
  </si>
  <si>
    <t>Травянистое, многолетнее растение, цветущее красивыми розовыми или сиренево-розовыми цветами в период с июня по сентябрь. Цветы растения издают приятный, ненавязчивый аромат. Применяется как в народной, так и в традиционной медицине. Служит противовоспалительным, антибактериальным, потогонным и седативным средством. Так же из него делается знаменитый, традиционны Копорский чай. Растение не вырастает в одиночку, а образует довольно обширные заросли в виде цветочного ковра высотой от 0,5 до 1,5 м.</t>
  </si>
  <si>
    <t>2000274000018</t>
  </si>
  <si>
    <t>Кавбуз Гигантский 3 шт. (Гр)</t>
  </si>
  <si>
    <t>Поистине удивительная ягода, претендующая на звание самой крупной в мире. Этот молекулярный гибрид арбуза и тыквы не просто объединил лучшие черты родительских культур, но и превзошёл их по урожайности на 20-30 %. Мощное растение формирует стелющийся полый стебель длиной до 5 м, украшенный крупными слабовыемчатыми листьями и яркими оранжево‑жёлтыми цветками. Плоды поражают благородным обликом: округло‑плоская форма с лёгкой ребристостью, изысканный тёмно‑серо‑голубой фон с продольными белыми полосами. Толстая морщинистая кора надёжно защищает сокровище – мякоть толщиной до 8 см. Она удивляет плотной, хрустящей текстурой и сладостью (16-18 % сахара), при разрезании издаёт характерный арбузный хруст и источает свежий аромат. Малое семенное гнездо делает плод ещё более ценным. Настоящий кладезь витаминов и микроэлементов, особенно фолацина. Его плотная, но нежная мякоть без волокон в сыром виде приятно сладковата, а при термической обработке раскрывает новые грани вкуса – от нежной морковной ноты до утончённой сладости. При этом полностью отсутствует тыквенный аромат.</t>
  </si>
  <si>
    <t>2000250300019</t>
  </si>
  <si>
    <t>Кавбуз Здоровяга 3 шт. (Гр) 301611228</t>
  </si>
  <si>
    <t>Это самая большая в мире диво-дивная целебная ягода, молекулярный гибрид арбуза и тыквы, унаследовавший характерные особенности обоих родителей, а по урожайности превышающий их на 20-30 %. Именно от них он унаследовал свои питательные и лечебные свойства. Плод полосато-сине-зелёного с оранжевым оттенком цвета. Кожа тонкая и крепкая, из-за чего очень хорошо хранится очень долго, практически до мая месяца. Мякоть оранжевого цвета, мягкая. Стебель стелющийся, полый, ветвистый, достигает 3 метров в длину. Листья крупные, слабовыемчатые, с незначительным опушением. Цветки крупные, оранжево-желтые. Семена у кавбуза овально-вытянутые, жёлто-белые или коричневые, длиной 2-3 см, напоминают семена арбуза и тыквы.</t>
  </si>
  <si>
    <t>2000273960016</t>
  </si>
  <si>
    <t>Кавбуз Здоровяга Сахарный 3 шт. (Гр)</t>
  </si>
  <si>
    <t>Уникальная коллекционная реликвия: гибрид тыквы и арбуза. Этот раннеспелый сорт (60-70 дней) превосходит родителей по урожайности на 20-30 %. Растение мощное, с стелющимся полым стеблем до 4 м, крупными сердцевидными листьями и оранжево‑жёлтыми цветками. Плоды (8-11 кг) внешне напоминают тыкву: округло‑приплюснутые, серо‑сине‑зелёные, с сетчатым беловатым вкраплением и красноватым рисунком. По вкусу ближе к арбузу – сладкие, ароматные, с оранжевой суховатой мякотью (4-7 см). В составе: до 15 % сахара (преимущественно фруктоза), каротин, пектин, витамины В, С, РР, Е, а также калий, кальций, магний и другие минералы. На одном растении созревает 3-4 плода с тонкой крепкой кожурой. Кавбуз ценится за отличный вкус, лёжкость (сохраняется до нового урожая) и неприхотливость: выдерживает заморозки до -3-5 °C,и успешно выращивается не только на юге, но и в Средней полосе и северных регионах России.</t>
  </si>
  <si>
    <t>2000206980012</t>
  </si>
  <si>
    <t>Капуста б/к Vesuvius коническая 0.2 г (Гр)</t>
  </si>
  <si>
    <t>Ультраранний сорт с необычной, оригинальной конической формой кочана. Это удачный выбор для легких и вкусных салатов и закусок. Продукция отличается нежной, хрустящей и сочной структурой. Созревание урожая наступает уже через 100 дней после появления всходов. Листовая розетка крепкая, приподнятая. Кочаны средней массой 1,4-1,5 кг, в меру плотные, просто и быстро шинкуются. Не растрескиваются, сохраняют отличные вкусовые и товарные качества после срезки, но для зимнего хранения не предназначены.</t>
  </si>
  <si>
    <t>2000245980011</t>
  </si>
  <si>
    <t>Капуста б/к Долгохранящаяся 1 г (Гр)</t>
  </si>
  <si>
    <t>Это позднеспелая культура, период от всходов до полного созревания составляет 140-160 суток. Урожай убирают в октябре. Этот сорт холодостойкий, кочаны могут выдерживать понижение температуры до –6 °С, предназначен для выращивания в открытом грунте. Он также отличается высокой урожайностью. Капуста неприхотлива в уходе и не требует особого состава почвы. Она может храниться в прохладном месте до 8 месяцев, что является хорошим показателем среди других сортов капусты. Овощи универсальны в использовании: их можно употреблять в свежем виде, замораживать, квасить, использовать в качестве гарнира или при приготовлении супов. Они хорошо переносят термическую обработку.</t>
  </si>
  <si>
    <t>2000229210011</t>
  </si>
  <si>
    <t>Капуста б/к Королева Заквасия 300 шт. (Гр)</t>
  </si>
  <si>
    <t>Отлично подходит для квашения! Среднеспелая разновидность, созревает за 100-125 дней. Отличается устойчивостью к засухам. Имеет высокую урожайность – до 12,5 кг/м². Славится приятными вкусовыми качествами, отличной всхожестью, устойчивостью к основным заболеваниям, присущим капусте. Кочаны у сорта округло-плоские. Вес колеблется в пределах 2,5-5 кг, хотя бывают и рекордсмены под 6-7 кг, но это редкость. Капуста имеет светло-зелёный цвет листьев, а в разрезе всегда белая. Кочаны у сорта округло-плоские. Хорошо транспортируется, хранится до 3 месяцев, при хороших условиях 4-4,5 месяца. При переспевании и долгом хранении не растрескивается. Рекомендуется использовать в свежем виде.</t>
  </si>
  <si>
    <t>2000217640011</t>
  </si>
  <si>
    <t>Капуста брокколи Раннее Чудо  200шт. (Гр)</t>
  </si>
  <si>
    <t>Обладает высокой урожайностью, дружным созреванием и отличными вкусовыми качествами. Раннеспелый (от полных всходов до технической спелости 60-89 дней) сорт. Головки крупные, тёмно-зелёные (при холодной или жаркой погоде приобретают тёмно бурый оттенок), плотные. Центральная достигает массы 160-200 г. Через неделю после появления центральной головки, в пазухах листьев формируется до 7 головок второго порядка. Растение богато витаминами А, В1, В2, РР. С, Е. Содержит большое количество незаменимых аминокислот. При регулярном употреблении препятствует образованию холестерина. Прекрасно подходит как для употребления в свежем виде, так и в отваренном или тушёном виде, в качестве основного блюда или гарнира. Рекомендован для консервирования.</t>
  </si>
  <si>
    <t>2000240560010</t>
  </si>
  <si>
    <t>Капуста брюссельская Зелёные Колобки 200 шт. (Гр)</t>
  </si>
  <si>
    <t>Среднеранний сорт (170 дней) с дружным формированием урожая. Из всех видов капуст - брюссельская наиболее богата витаминами С и В9 (фолацин), а так же обладает отличными вкусовыми и диетическими качествами. Кочанчики средего размера, массой до 15 г. На одном растении образуется до 45 шт. Сорт применяется для употребления свежем виде в составе салатов, а также отварными, тушёными, жареными в различных гарнирах, супах и других блюдах. При замораживании питательные и вкусовые качества полностью сохраняются. Урожайность составляет около 1,5-1,7 кг/м2.</t>
  </si>
  <si>
    <t>2000244900010</t>
  </si>
  <si>
    <t>Капуста к/к Красная Королева 1 гр. (Гр)</t>
  </si>
  <si>
    <t>Это один из самых красивых сортов капусты с плотными кочанами, вес которых составляет от 1,5 до 2 кг. Он относится к раннеспелым сортам и даёт урожай уже через 110-120 дней после появления всходов. Растения этого сорта компактные и невысокие. Кочаны имеют округлую форму и частично покрыты листьями. Внутренняя сердцевина кочана маленькая. Созревание кочанов происходит дружно и практически одновременно. Растения устойчивы к вредителям и фузариозному увяданию. Кочаны этого сорта не подвержены растрескиванию и могут храниться до двух месяцев. Урожайность составляет более 3 кг/м2.</t>
  </si>
  <si>
    <t>2000244930017</t>
  </si>
  <si>
    <t>Капуста кольраби Виолетта 1 гр. (Гр)</t>
  </si>
  <si>
    <t>Это позднеспелый сорт, период созревания которого составляет 100-110 дней. Плоды имеют округло-плоскую форму и средний размер, достигая массы от 1,5 до 2 кг. Розетка растения имеет диаметр от 50 до 70 см, полувертикальная, с листьями средней густоты. Мякоть плода белая, нежная и сочная. Хрустящая текстура придаёт ей особый шарм. Это отличный выбор для любителей сочных овощей. Нежная текстура и прекрасные вкусовые качества делают этот сорт подходящим как для свежего употребления, так и для различных видов переработки. Выращивание этого растения не требует больших затрат времени и усилий, что делает его доступным для всех желающих.</t>
  </si>
  <si>
    <t>2000240260019</t>
  </si>
  <si>
    <t>Капуста пекинская София 200 шт. (Гр)</t>
  </si>
  <si>
    <t>Великолепный раннеспелый сорт пекинской капусты для свежего потребления! Период от всходов до уборки урожая составляет 55-65 дней. Кочан среднего размера и плотности, компактный, массой около 2-2,3 кг. Сорт подходит для краткосрочного хранения. Сочные, крупные и хрустящие листья используются для приготовления голубцов, рагу, первых блюд. По примеру азиатской культуры пекинскую капусту можно солить, мариновать, сушить на зиму. Урожайность сорта составляет около 5 кг/м2.</t>
  </si>
  <si>
    <t>2000244940016</t>
  </si>
  <si>
    <t>Капуста савойская Зелёное кружево 1 гр. (Гр)</t>
  </si>
  <si>
    <t>Этот высокоурожайный раннеспелый сорт, созданный отечественными селекционерами, станет отличным выбором для тех, кто ценит вкусную и полезную пищу! Период от появления всходов до технической спелости составляет 105-110 дней. Кочаны имеют округло-плоскую форму, среднюю плотность и желтоватый оттенок на разрезе. Вес каждого кочана составляет около 1-1,5 кг. Листья очень нежные, пузырчатые, с прекрасными вкусовыми качествами, которые значительно превосходят вкус белокочанной капусты. Благодаря своей устойчивости к фузариозному увяданию и повреждениям от листогрызущих вредителей, этот сорт также отлично подходит для тех, кто ищет более засухоустойчивую и холодостойкую альтернативу белокочанной капусте. Хозяйственная годность наступает, когда кочаны приобретают бледно-зелёную или желтоватую окраску. Сорт не предназначен для продолжительного хранения. Сорт идеально подходит для приготовления свежих салатов и различных блюд домашней кулинарии, таких как голубцы, солянки, борщи и гарниры.</t>
  </si>
  <si>
    <t>2000244950015</t>
  </si>
  <si>
    <t>Капуста савойская Фиолетовое Кружево 0,4 гр. (Гр)</t>
  </si>
  <si>
    <t>Это один из самых красивых и полезных сортов савойской капусты. Этот сорт встречается довольно редко, так как большинство сортов капусты имеют зелёные листья. Срок созревания этой капусты поздний - от появления всходов до достижения технической спелости проходит 130-150 дней. Кочаны имеют массу 2-2,2 кг. Листья у данного сорта гофрированные, более тонкие, чем у белокочанной капусты, воздушные, мелкопузырчатые. Эта капуста идеально подходит для диетического питания благодаря своей низкой калорийности, высокому содержанию белка и нежной клетчатки. Также она содержит антидиабетический компонент - маннит. Вкус мягкий и нежный. Срезанные кочаны хранятся не более 1–1,5 месяцев, но если оставить их на корню, они могут сохраняться дольше. Сорт используют для употребления в свежем виде, приготовления салатов, а также для приготовления первых и вторых блюд. Он также отлично подходит в качестве начинки для выпечки.</t>
  </si>
  <si>
    <t>2000244960014</t>
  </si>
  <si>
    <t>Капуста цв. Белая Ультраскороспелая 0,2 гр. (Гр)</t>
  </si>
  <si>
    <t>Это ультраскороспелый сорт, который был выведен отечественными селекционерами специально для выращивания в средней полосе и северных регионах нашей страны. Его можно выращивать как в открытом грунте, так и в теплицах. Урожай можно собирать уже через 50-60 дней после того, как вы высадите рассаду. Головки у этого сорта среднего размера, весом от 0,8 до 1,2 кг. Они плотные и хрустящие, с повышенным содержанием витамина C. Вкус замечательный. Если выращивать этот сорт в теплицах без обогрева, то урожай можно получить уже в начале лета.</t>
  </si>
  <si>
    <t>2000246780016</t>
  </si>
  <si>
    <t>Картофель Импала 0,1 гр. (Гр) 690295459</t>
  </si>
  <si>
    <t>Раннеспелый высокоурожайный сорт картофеля, который можно выращивать в разных климатических регионах. Он хорошо плодоносит даже при быстром созревании корнеплодов, поэтому в регионах с длительным летом можно собрать два урожая за сезон. Растения достигают высоты до 75 см и обладают высокой энергией роста. Картофелины крупные, овальной формы, светло-жёлтого цвета с гладкой и ровной кожицей. Средний вес клубня составляет 90-150 г. Одно здоровое растение может дать от 16 до 20 клубней. Благодаря своим вкусовым качествам и размеру, этот сорт отлично подходит для жарки, тушения, запекания, приготовления супов и салатов. Сорт обладает хорошей стрессоустойчивостью – перепады температуры и другие внешние факторы практически не влияют на урожайность. Максимальная урожайность составляет 367 ц/га.</t>
  </si>
  <si>
    <t>2000246790015</t>
  </si>
  <si>
    <t>Картофель Пикассо 0,1 гр. (Гр) 690306171</t>
  </si>
  <si>
    <t>Позднеспелый столовый картофель, который можно собирать только через 110-130 дней после посадки. Клубни имеют жёлтую окраску с крупными розовыми глазками, которые неглубоко уходят в корнеплод. Мякоть светло-жёлтая, крахмалистость составляет 8-13 %. Сорт высокопродуктивный: с одного куста можно получить до 20 клубней. Это один из лучших сортов для зимнего хранения. Он не только хорошо хранится, но и практически не прорастает за время хранения. Куст мощный, высокий, с белыми цветами и крупными листьями. Клубни среднего размера, округло-овальной формы, массой 80-130 г. По вкусовым параметрам сорт высоко оценён. Он не разваривается во время варки, подходит для жарки, супов и салатов. Из-за низкого содержания крахмала из этого картофеля сложно приготовить пюре и сухие картофельные хлопья.</t>
  </si>
  <si>
    <t>2000256150014</t>
  </si>
  <si>
    <t>Лавр Благородный 2 шт. (Гр)</t>
  </si>
  <si>
    <t>Вечнозеленое дерево или высокий кустарник высотой 10-15 метров с бурой гладкой корой и голыми побегами, срок жизни которого варьируется от 100 до 400 лет. Широко культивируемое в декоративных целях, это растение имеет густую крону, отлично поддающуюся стрижке, и используется как живая изгородь или для создания топиарных фигур. В интерьере лавр также выступает как горшечное растение, являясь источником свежей пряности с полезными эфирными маслами. Богатый органическими кислотами и алкалоидами, лавр обладает целебными свойствами, применяемыми в народной медицине и фармацевтике. Правильная обрезка позволяет создать изысканный бонсай, который сохраняет ароматную листву.</t>
  </si>
  <si>
    <t>2000258240010</t>
  </si>
  <si>
    <t>Огурец Аристан 5 шт. (Гр)</t>
  </si>
  <si>
    <t>Скороспелый урожайный партенокарпический гибрид для закрытого и открытого грунта. Характеризуется ранней отдачей урожая, уже на 38-40 день, высокой силой роста и регенеративной способностью. Высокая устойчивость к корневым гнилям. Плоды короткие, плотные, хрустящие, массой 60-80 г, привлекательной темно-зеленой окраски. Растение быстро регенерирует после экстремальных стрессовых условий (дефицит влаги, высокая температура). Устойчив к болезням. Для открытой почвы, стеклянных и пленочных теплиц. Выделяется стабильно выровненной формой плодов. Зеленец темно-зелёного цвета, крупнобугорчатый, хрустящий. Вкус отличный как в свежем виде, так и при любых видах консервации.</t>
  </si>
  <si>
    <t>2000205290013</t>
  </si>
  <si>
    <t>Огурец Барон 25 шт. (Гр)</t>
  </si>
  <si>
    <t>Это ранний партенокарпический гибрид, который созревает через 40-48 дней после посадки. Огурчики достигают в длину 10-12 см, в диаметре не превышают 4,5 см. Вес одного огурца составляет 75-92 г. Кожица зелёная, с мелкими белошипными бугорками. Вкус превосходный, горечь отсутствует генетически и не проявится, даже если растению не хватит влаги. Огурцы изумительны в свежем виде и в заготовках – душистые, хрустящие.</t>
  </si>
  <si>
    <t>2000143760012</t>
  </si>
  <si>
    <t>Огурец Бостонский Засолочный 15 шт. (Гр)</t>
  </si>
  <si>
    <t>Относится к позднеспелым гибридам (52-57 дней), благодаря чему продолжает плодоношение даже тогда, когда другие сорта его давно уже закончили. Огурчики этого сорта, размером 7-12 см, прекрасно подходят и для сбора на и пикули 4-5 см. Главным плюсом бостонского огурца являются его превосходные вкусовые качества при любых видах консервации и засола. Огурцы получаются очень вкусные и хрустящие при засоле, да и в свежем виде имеют отличный вкус. Этот сорт имеет устойчивость к поражению большинством заболеваний в т.ч. к вирусам, кладоспориозу, фузариозу, фитофторозу и мучнистой росе, стрессоустойчивость, стабильную урожайность – до 6 кг/м2, устойчивость к транспортировке.</t>
  </si>
  <si>
    <t>2000275740012</t>
  </si>
  <si>
    <t>Огурец Габри 5 шт. (Гр)</t>
  </si>
  <si>
    <t>Всего за 35-38 дней от первых нежных проростков до сбора урожая этот феноменальный сорт демонстрирует небывалую скорость созревания. Плоды удивляют идеальными параметрами: длина 13-14 см, толщина 2,5-3 см, вес около 90-95 г. Их украшает равномерный глубокий зелёный цвет без единого пятнышка. Растительная сила гибрида поражает: мощная корневая система и стремительный рост создают крепкий каркас. Уникальная способность завязывать плоды проявляется при любых погодных условиях - от мороза до зноя. Урожайность превосходит ожидания: при комфортных условиях формируется до 5 завязей в пазухе, а при стрессе – стабильно 1-2. Универсальность применения делает гибрид незаменимым: основное предназначение – тепличное выращивание для рынка свежих овощей. Но и в открытом грунте сорт показывает себя с лучшей стороны, даря стабильные урожаи даже в непростых погодных условиях.</t>
  </si>
  <si>
    <t>2000259260017</t>
  </si>
  <si>
    <t>Огурец Дальневосточный Засухоустойчивый 2 гр. (Гр)</t>
  </si>
  <si>
    <t>Идеальный огурец для засолки и консервации на вашей даче! Этот среднеспелый сорт неприхотлив в уходе, устойчив к болезням и капризам погоды, даёт обильный урожай (до 6 кг/м2). Пчёлоопыляемые плети щедро усыпаны хрустящими, ароматными огурчиками длиной 11-15 см, без горечи и с отличным вкусом. Выращивайте в открытом грунте или под плёнкой – сорт легко адаптируется к разным условиям. Подходит как для свежего употребления, так и для заготовок – зимой ваши домашние соленья станут любимым угощением всей семьи!</t>
  </si>
  <si>
    <t>2000217660019</t>
  </si>
  <si>
    <t>Огурец Китайский Гигант F1 самоопыляемый 5 шт. (Гр)</t>
  </si>
  <si>
    <t>Раннеспелый, партенокарпический гибрид, салатного типа. Растение индетерминантное, слабоветвистое, смешанного типа цветения. В узле одна-две завязи. Зеленец удлинённо-цилиндрической формы, длиной около 30-35 см, тёмно-зелёный, крупнобугорчатый с белым опушением и шипами. Масса зеленца около 230-300 г. Урожайность под плёночными укрытиями составляет 12 кг/м2.</t>
  </si>
  <si>
    <t>2000177170016</t>
  </si>
  <si>
    <t>Огурец Кулинарный Чемпион F1 самоопыляемый 20 шт. (Гр)</t>
  </si>
  <si>
    <t>Партенокарпический среднеранний гибрид для открытого грунта и пленочных теплиц. Период от всходов до плодоношения 50-55 дней. Плоды гладкие тёмно-зеленого цвета, со слабой ребристостью, длиной 17-20 см., отличного вкуса, прекрасно подходят для слайсов и карвинга. Отличается дружной обильной урожайностью, неприхотливостью к условиям выращивания, устойчив к похолоданиям. Благодаря короткоплетистой форме куста, возможно выращивание гибрида на домашних подоконниках и балконах.</t>
  </si>
  <si>
    <t>2000144520011</t>
  </si>
  <si>
    <t>Огурец Кустовой 30 шт. (Гр)</t>
  </si>
  <si>
    <t>Отличается дружным плодоношением. Любимый многими старинный, надежный скороспелый сорт (42-45 дней от появления всходов до начала созревания), для открытого грунта. Растение кустовое, женского типа цветения. Зеленец редкобугорчатый, с черным опушением, длиной 9-12 см, отличного вкуса, долго не желтеет. Плоды прекрасно подходят для засолки и консервирования. Урожайность – свыше 10 кг/м2.</t>
  </si>
  <si>
    <t>2000262030010</t>
  </si>
  <si>
    <t>Огурец Победитель стрессов 5 шт. (Гр)</t>
  </si>
  <si>
    <t>Один из лучших гибридов раннего срока созревания, который дает высокие урожаи не только в теплицах, но и в открытом грунте. Ультраранний партенокарпический гибрид огурца корнишонного типа, созревающий всего за 36-38 дней. Этот универсальный сорт идеально подходит для выращивания как в стеклянных и плёночных теплицах, так и в открытом грунте. Гибрид отличается высокой способностью к формированию однородных по размеру и форме плодов на протяжении всего вегетационного периода. Цилиндрические плоды имеют тёмно-зелёную окраску, длину 8-11 см и массу 80-100 г. Они отличаются высокой транспортабельностью и превосходным вкусом. Он идеально подходит для употребления в пищу как в свежем, так и в консервированном виде.</t>
  </si>
  <si>
    <t>2000275760010</t>
  </si>
  <si>
    <t>Огурец Проскор 5 шт. (Гр)</t>
  </si>
  <si>
    <t>Ранний гибрид от селекционеров Nunhems предназначен для получения ровных мини-огурчиков длиной 3-9 см. Растение с преимущественно женским типом цветения активно формирует несколько завязей в узле, что обеспечивает стабильный сбор урожая. Куст компактный, с плотной зелёной листвой, а плоды – аккуратные, цилиндрические, мелкобугорчатые, с лёгкими полосами и плотной хрустящей мякотью без горечи. Средняя масса огурчиков составляет 50-90 г, при этом они отличаются высокой выравненностью, что особенно ценно при засолке и переработке. Гибрид хорошо переносит разные условия выращивания, устойчив к основным болезням культуры и подходит как для теплиц, так и для открытого грунта. Плоды долго сохраняют свежесть, отлично переносят транспортировку и обладают высоким товарным качеством, что делает этот вариант выгодным выбором для фермеров и владельцев частных участков.</t>
  </si>
  <si>
    <t>2000244130011</t>
  </si>
  <si>
    <t>Огурец Просто Клава 20 шт. (Гр)</t>
  </si>
  <si>
    <t>Раннеспелый, партенокарпический гибрид, от всходов до плодоношения 38-40 дней. Рекомендуется для открытого и защищённого грунта. Урожайность высокая: в открытом грунте 9-10 кг/м2, в теплицах более 20 кг/м2. Растения с женским типом цветения, с пучковым заложением завязей. Зеленцы цилиндрические, мелкобугорчатые, белошипые, длиной 10-12 см и массой 65-90 г. Вкусовые качества отличные как в свежем виде, так и при консервации, без горечи. Гибрид обладает комплексной устойчивостью к болезням. Отлично подходит для использования в свежем виде, всех видов консервирования.</t>
  </si>
  <si>
    <t>2000223730010</t>
  </si>
  <si>
    <t>Огурец Сармат 5 шт. (Гр)</t>
  </si>
  <si>
    <t>Раннеспелый гибрид партенокарпического, крупнобугорчатого огурца корнишона! Растение среднемощное, вегетативное. За счёт компактного, но сильного растения снижается его чувствительность к травмированию плетей во время сборов урожая. Плоды однородные, цилиндрические, насыщенно-зелёного цвета, массой 70-90 г, плотные. Соотношение длина/ширина 3,1:1. Стабильное соотношение длины и диаметра во время всего периода выращивания и после действия стрессовых факторов. Огурчики не перерастают, генетически без горечи, обладают отличными вкусовыми качествами как в свежем, так и в консервированном виде. Гибрид отличается хорошей завязываемостью плодов, толерантностью к пониженным температурам и устойчивостью к основным заболеваниям огурца. Подходит для открытого грунта и плёночных теплиц. Предназначен для потребления в свежем виде и переработки.</t>
  </si>
  <si>
    <t>2000237340014</t>
  </si>
  <si>
    <t>Огурец Солнцепёк F1 5 шт. (Гр)</t>
  </si>
  <si>
    <t>Высокоурожайный, жаростойкий! Это пожалуй лучший гибрид для открытого грунта! Раннеспелый самоопыляемый гибрид, созданный специально для выращивания в открытом грунте. Плоды c мелкими и плотными бугорками тёмно-зелёного цвета, хрустят и не теряют пигментацию при переработке. Огурчики не перерастают, генетически без горечи, обладают отличными вкусовыми качествами. Прекрасно подходит для засолки и консервации, а так же великолепен при употреблении в свежем виде. Рекомендуется для первых и вторых посевов в более жаркую погоду с уборкой каждый день.</t>
  </si>
  <si>
    <t>2000141670016</t>
  </si>
  <si>
    <t>Огурец-Лимон Хрустальное Яблоко 10 шт. (США) (Гр) 196358275</t>
  </si>
  <si>
    <t>Редкий интересный сорт который может давать плоды вплоть до заморозков, при этом с одного растения за сезон можно снять от 8 до 10 кг огурцов. Некоторые плоды обладают нежной и гладкой кожицей, другие же вырастают ребристыми с легким белым опушением. По внешнему виду плоды напоминают лимон, светло-желтая кожура и белая мякоть плодов имеют вкус огурца, только более «благородный» и более сладковатый. Легко может расти там, где вызревают кабачки и огурцы. Может быть выращен в больших горшках, как в квартире, так и в оранжерее. Растение засухоустойчивое. Средний размер плодов от 6 до 9 см в поперечнике. На юге плоды вырасти могут и до 18 см. Созревает примерно через 60 дней.</t>
  </si>
  <si>
    <t>2000214360011</t>
  </si>
  <si>
    <t>Перец острый Aji Fantasy Sparkly White 10 шт. (Гр)</t>
  </si>
  <si>
    <t>Знаменитый современный сорт из Финляндии. Куст раскидистый, крепкий, высотой в теплице более 1 м. Плоды массой 25-30 г созревают рано, через 105-115 дней от всходов. Степень остроты 4 балла из 10 по шкале Сковилла. Мякоть по краю – сладкая и ароматная. Аромат лёгкий, фруктовый. Ближе к центру мякоть возле семян – очень острая! Отличается фантастической продуктивностью (до 100 перчиков c куста!), толстой стенкой для острого перца (3-4 мм) и сочной мякотью. Эти перчики очень полезны для здоровья, их следует употреблять в свежем виде, мариновать и сушить впрок.</t>
  </si>
  <si>
    <t>2000140780013</t>
  </si>
  <si>
    <t>Перец Паприка пикантная Сицилийская 50 шт. (Гр)</t>
  </si>
  <si>
    <t>Растение, с ярко выраженным пикантным острым вкусом и сильным ароматом. Это высокоурожайный среднеспелый сорт для открытого грунта и плёночных теплиц. Период от всходов до начала созревания плодов 120-130 дней. Куст высотой 50-60 см, плоды слабоморщинистые, имеют конусовидную форму. На одном кусте созревает до 60 плодов. Окраска в технической спелости зеленая, в биологической - красная. Длина 20-35 см, диаметр 1-1,5 см. Масса 25-35 г. Используют как приправу к блюдам, в качестве специй при квашении, мариновании и консервировании.</t>
  </si>
  <si>
    <t>2000140790012</t>
  </si>
  <si>
    <t>Перец Паприка сладкая Венгерская Реликвия 50 шт. (Гр) 314120743</t>
  </si>
  <si>
    <t>Раннеспелый гибрид (85-90 дней) для пленочных теплиц и открытого грунта. Формирует мощные кусты высотой 55-60 см. Плоды прямостоячие, трапециевидные. Средняя масса 100-120 грамм, 3-4 камеры. Толщина стенки 6-9 миллиметров. Прекрасные вкусовые и товарные характеристики. Окраска плодов в биологической спелости от светло-оранжевой до темно-красной. Можно использовать для потребления в свежем виде, домашней кулинарии и переработки.</t>
  </si>
  <si>
    <t>2000214430011</t>
  </si>
  <si>
    <t>Перец сладкий Candy Cane Red (Карамельная Трость Красная) 5шт. (Гр) 314098252</t>
  </si>
  <si>
    <t>Сорт ультраранний. В зелёном виде плоды можно уже есть через 40-45 дней после высадки рассады, в созревшем виде через 60-65 дней.Этот уникальный перец нового поколения имеет необычную пёструю листву, и плоды, которые созревают от зелёного в полоску до красного в полоску. Перец производит гладкие плоды, 6 см в длину и 3 см в ширину, призматической формы, весом 30-40 гр. Превосходный сладкий вкус, хрустящая текстура, идеально подходят для свежей еды на любой стадии зрелости. Растение высотой 40-45 см, компактное, средней мощности, для выращивания в открытом и закрытом грунте, можно выращивать в горшке на окне или балконе.</t>
  </si>
  <si>
    <t>2000235250018</t>
  </si>
  <si>
    <t>Перец сладкий Большая Берта Желтая (Big Bertha Yellow) 5шт. (Гр)</t>
  </si>
  <si>
    <t>Коллекционная реликвия из США. Раннеспелый (105-115 дней). Растение полураскидистое, средней высоты. Лист среднего размера, зелёный, морщинистость очень слабая. Плоды пониклые, кубовидно-удлинённо-призмовидной формы, длиной 18-25 см, шириной 8-9 см, 3-4 камерные, средней массой более 300-350 г. Нередко формирует плоды-великаны, массой до 700 г. На каждом растении формируется 10-12 плодов. Особенностью этого сорта сладкого перца является большая толщина стенок плода, более 1 см. Плоды плотные и твердые, как камень, глянцевые, окраска в технической спелости зеленовато-белая, в биологической - жёлтая. Вкус свежих плодов отличный. Хорошо подходит для употребления в свежем виде, для консервирования, фарширования и для заморозки. Урожайность товарных плодов под плёночными укрытиями - 6,4-6,8 кг/м2.</t>
  </si>
  <si>
    <t>2000235240019</t>
  </si>
  <si>
    <t>Перец сладкий Большая Берта Красная (Big Bertha Red) 5шт. (Гр)</t>
  </si>
  <si>
    <t>Коллекционная реликвия из США. Срок вегетации до технической зрелости 90–100 дней. Растения невысокие около 50-60 см. Требует обязательной подвязки к опоре, так как под тяжестью перцев оно ломается и складывается, как карточный домик. Плоды кубовидно-удлинённо-призмовидной формы, длиной 18-25 см, шириной 8-9 см, 3-4 камерные, средней массой более 300-350 г. Нередко формируют плоды-великаны, массой до 700 г! На каждом растении формируется 10-12 плодов. Особенностью этого сорта сладкого перца является большая толщина стенок плода, более 1 см. Перцы плотные и твёрдые, как камень. В технической зрелости цвет плодов зелёный, потом переходит в красный. Вкус сладкий с небольшой кислинкой. При посадке четырех растений на 1 м2 - урожайность более 12 кг. Хорошо подходит для употребления в свежем виде, для консервирования, фарширования и для заморозки.</t>
  </si>
  <si>
    <t>2000214450019</t>
  </si>
  <si>
    <t>Перец сладкий Гигант России красный 10 шт. (Гр)</t>
  </si>
  <si>
    <t>Коллекционный высокоурожайный сорт как для открытых грядок, так и для выращивания в теплицах и пленочных укрытиях. Раннеспелый, до биологической спелости – 100-110 дней. Перец отличается невысокими, мощными, полураскидистыми компактными кустами. Их высота едва достигает 80 см. Плоды кубовидно-вытянутой формы, 3-4-камерные, крупные (16х22 см), толстостенные (до 12 мм), очень плотные. Плоды гиганты - размером с литровую банку. Масса плода до 600 гр. Незрелые – зеленые, зрелые – красно-малиновые, сочные, сладкие, ароматные. Сорт обладает превосходными вкусовыми качествами, мякоть плотная, сочная, очень сладкая. Плоды используются в свежем виде, для консервации, фарширования и приготовления лечо. Сорт ценится за повышенную лежкость и транспортабельность, отличные вкусовые качества.</t>
  </si>
  <si>
    <t>2000232040018</t>
  </si>
  <si>
    <t>Перец сладкий Леся Жёлтая Сердцевидный 5 шт. (Гр)</t>
  </si>
  <si>
    <t>Один из самых сладких и вкусных сортов перца. Раннеспелый (105-110 дней) урожайный сорт с необычайно красивыми и очень сладкими плодами. Растение невысокое, компактное (40-60 см). Плоды сердцевидно-конусовидной формы массой 150-200 г, с острым носиком, тёмно-красного цвета. Растения высокоурожайные, каждый кустик способен дать до 35 плодов при соответствующем уходе. Сорт неприхотливый, устойчив к болезням. Мякоть сочная, хрустящая, очень сладкая. Стенки плода толстые, мясистые, толщиной 9-12 мм. Лежкость высокая, перцы не подвергаются гниению. Прекрасно подходит для фаршировки и всех видов консервирования.</t>
  </si>
  <si>
    <t>2000250120013</t>
  </si>
  <si>
    <t>Перец сладкий Леся Оранжевая 7 шт. (Гр)</t>
  </si>
  <si>
    <t>Скороспелый сорт, первые плоды которого можно собирать уже через 4 месяца после посева семян на рассаду! Этот сорт отличается высокой урожайностью и необычайно красивыми, очень сладкими плодами. Каждый небольшой куст даёт до 30-35 красивых глянцевых плодов. Перцы не просто сладкие - они мегасладкие, переполнены вкуснейшим соком и богатым ароматом! Куст раскидистый, густооблиственный, высотой до 40-60 см. Формировка не требуется, так как кусты перегружены урожаем, поэтому опора желательна. Толщина стенки составляет около 7-10 мм. Перцы имеют форму перевёрнутой капли с характерным острым носиком. Они жёлто-оранжевого цвета, с гладкой блестящей поверхностью. Массой около 120-180 г. Этот сорт отлично подходит для употребления в свежем виде, фарширования, запекания, заморозки, сушки и любых видов консервации.</t>
  </si>
  <si>
    <t>2000194600015</t>
  </si>
  <si>
    <t>Перец сладкий Леся сердцевидный 10 шт. (Гр)</t>
  </si>
  <si>
    <t>2000250180017</t>
  </si>
  <si>
    <t>Перец сладкий Леся Темно-красная 10 шт. (Гр)</t>
  </si>
  <si>
    <t>Благодаря своей скороспелости (110-115 дней) и способности переносить стрессовые условия, его можно успешно выращивать как в теплице, так и в открытом грунте. Растения получаются полуштамбовыми, высотой 50-60 см, с обилием листьев. На одном кусте может завязаться до 30 плодов. Перцы имеют оригинальную обратно-каплевидную форму с острым носиком. Они толстостенные, плотные, сочные и сладкие. Цвет плодов меняется от тёмно-зелёного до тёмно-бордово-малиново-красного. Этот сорт перца можно использовать для приготовления салатов в свежем виде, запекания и фаршировки. Также его можно замораживать, сушить и консервировать. В любом виде плоды сохраняют свои вкусовые качества. Средняя масса перцев составляет 120-140 г, а толщина стенок около 8 мм. Урожайность этого сорта составляет около 7,5-8,5 кг/м2, что делает его очень привлекательным для выращивания.</t>
  </si>
  <si>
    <t>2000250130012</t>
  </si>
  <si>
    <t>Перец сладкий Леся Фиолетовая 5 шт. (Гр)</t>
  </si>
  <si>
    <t>Это раннеспелый сорт перца, который радует своим урожаем уже через 105-110 дней после появления всходов. Период плодоношения растянутый. Первые перцы могут созреть уже в июле, а затем растение будет радовать вас урожаем до самых холодов. Кусты этого перца невысокие и компактные, достигают высоты от 40 до 70 см. Плоды имеют сердцевидно-конусовидную форму, вес каждого из них составляет 150-200 г. У перцев острый носик и необычный фиолетово-бордово-малиновый цвет. Данный сорт отличается высокой урожайностью: при правильном уходе каждый куст может дать до 35 плодов. Кроме того, он неприхотлив и устойчив к болезням. Мякоть перцев сочная, хрустящая и очень сладкая. Стенки плодов толстые и мясистые, их толщина составляет 9-12 мм. Вкус ярко выраженный, с фруктовыми, ягодными, пряными и ореховыми нотками. Этот сорт отлично подходит для свежего употребления, фаршировки и всех видов консервирования. Перцы не только обладают потрясающим вкусом, но и хорошо хранятся, не подвергаясь гниению.</t>
  </si>
  <si>
    <t>2000245960013</t>
  </si>
  <si>
    <t>Перец сладкий Рамиро 0,5 гр. (Гр) 315799289</t>
  </si>
  <si>
    <t>Этот сорт перца по праву считается чемпионом среди своих собратьев благодаря высокому содержанию витамина С, который так важен для поддержания иммунитета, особенно в холодное время года! Кусты вырастают до 100-120 см в высоту и имеют мощные, устойчивые стебли с развитой корневой системой. Из-за веса крупных плодов (до 150 г) растениям требуется опора и подвязывание. Плоды имеют вытянутую форму с характерным изгибом в виде полумесяца и небольшими заломами у плодоножки. Гладкая, блестящая кожица и внушительные размеры (до 30 см в длину) делают эти перцы очень привлекательными. Однако главная особенность этого сорта - его невероятная урожайность. На каждом растении созревает от 12 до 15 крупных перцев, что позволяет получить впечатляющий урожай. Также сорт популярен благодаря своей универсальности. Его можно употреблять свежим, добавлять в салаты и овощные закуски, запекать на сковороде или гриле, сушить, использовать в качестве приправы, соуса или даже фаршировать с различными начинками.</t>
  </si>
  <si>
    <t>2000148410011</t>
  </si>
  <si>
    <t>Перец сладкий Ред Носера 10 шт. (Гр)</t>
  </si>
  <si>
    <t>Непревзойдённый рекордсмен по размеру и толщине стенки, среднеранний сорт сладкого перца итальянской селекции. К сбору плодов приступают через 105-115 дней, считая с момента появления всходов. Растения перца Ред Носера среднерослые и имеют зонтиковидную форму, благодаря чему плоды защищены от солнечных ожогов. Плоды кубовидно-призматической формы отличаются очень крупными размерами: стандарт – 300 г; при надлежащей агротехнике - до 500 г. Мякоть плодов очень сочная и толстая, часто больше 1 см. В стадии полного созревания плоды окрашены в ярко-рубиновый цвет. В технической спелости плоды темно-зеленые. Перец необычайно вкусен при употреблении в свежем виде, а также идеально подходит для приготовления кетчупов, лечо и соусов. Устойчивость к вирусным заболевания высокая. Наибольшие урожаи достигаются при ведении тепличной культуры, но и в открытом грунте показывает отличные результаты.</t>
  </si>
  <si>
    <t>2000189460013</t>
  </si>
  <si>
    <t>Солянум Эфиопикум  Золотые Яйца 12шт. (Гр) 276931828</t>
  </si>
  <si>
    <t>Обладает лекарственными свойствами, и применяется как ветрогонное, успокаивающее и противорвотное средство. Родина Центральная Африка. Растения высотой 60-120 см, компактное. Листья лопастные, светло-зелёные. Цветы белые, до 1 см диаметром. Плоды обратно яйцевидные, сначала белые, по мере поспевания, переходящие в ярко-оранжевые, ребристые, массой до 80 г, мякоть баклажанная, со вкусом томата. Используются как баклажаны. Используют и как подвой для томатов и баклажан. Относительно засухоустойчивый, не морозостойкий, может расти на бедных почвах.</t>
  </si>
  <si>
    <t>2000231980018</t>
  </si>
  <si>
    <t>Томат Breds Athomic Grape (Атомный виноград Бреда) 15 шт. (Гр)</t>
  </si>
  <si>
    <t>Плоды - сливки примерно по 50 г, невероятной красоты, разноцветные, полосатые, жёлто-зелёно-фиолетовые. Внутри томат жёлто-зеленый. Кроме того, внутри могут присутствовать еще красные вкрапления. Плечи и бока чаще всего фиолетовые, но в случае выращивания в теплице они могут быть покрыты оливковыми, синими и красными полосами. Вкус сладкий, с фруктовым оттенком, невероятно насыщенный. Среднеспелый (110 дней), высокорослый. Пригоден для выращивания как в теплице или под пленочным покрытием, так и в открытом грунте.</t>
  </si>
  <si>
    <t>2000230130018</t>
  </si>
  <si>
    <t>Томат Pink Horn F1 5шт. США (Гр)</t>
  </si>
  <si>
    <t>Томат типа "Корнабель". Раннеспелый (59-63 дня), полудетерминантный гибрид для пленочных теплиц и открытого грунта с оригинальными плодами изогнутой перцевидной формы. Плоды удлинённые (до 10 см), весом 140-180 г, насыщенно-малинового цвета, транспортабельные, прекрасно хранятся. Созревание плодов на кисти равномерное, поэтому прекрасно подходит для кистевого и одиночного сборов. Мякоть сладкая с отличным десертным вкусом. Устойчив к вершинной гнили, фузариозу и вертициллезу.</t>
  </si>
  <si>
    <t>2000189480011</t>
  </si>
  <si>
    <t>Томат Red Elberta Peach 10 шт. (Гр) 299131975</t>
  </si>
  <si>
    <t>Один из самых красивых томатов на свете! Он одновременно и полосатый, и пушистый. Плоды не крупные,  округлой или сливовидной формы, цвет красный, в жёлтую полоску, массой до 100 г. Среднеспелый (90- 105 дней), полу-индетерминантный (от 50 см до 1,2 м высотой). Куст голубой, бархатный, лист среднего размера, голубоватой окраски. Плоды сладкие и очень вкусные. Очень красивый и редкий сорт. В северных областях Red Elberta Peach следует выращивать в тепличных условиях, климат южной и даже средней полосы позволяет вызревать овощу и в открытом грунте.</t>
  </si>
  <si>
    <t>2000212330016</t>
  </si>
  <si>
    <t>Томат Абрикосовое Сердце Зебры 10 шт. (Гр)</t>
  </si>
  <si>
    <t>Индетерминантный, среднеспелый сорт. Высота растения достигает в теплице 1,8 м. Помидоры очень красивые. Цвет оранжевый с красными полосками. На разрезе плоды просто бесподобной красоты, с яркими красно-малиновыми мазками с насыщенным ароматом. Помидоры мясистые, сладкие, с небольшим количеством семян. Средний вес плода составляет 300 г. При соблюдении правил агротехники бывают плоды весом и по 500 г. Урожайность хорошая и стабильная. С одного растения собирают 4-5 кг замечательных томатов. Формировать куст лучше в 1-2 стебля, с обязательным пасынкованием и подвязыванием. Используются помидоры для свежих салатов, соков и соусов.</t>
  </si>
  <si>
    <t>2000138100014</t>
  </si>
  <si>
    <t>Томат Аурия (Адам) 10 шт. (Гр)</t>
  </si>
  <si>
    <t>Среднеспелый (90-105 дней от всходов до плодоношения), индетерминантый сорт, который порадует Вас обилием уникальных по форме томатов. Урожайность этого сорта вдвое больше чем у других томатов. Форма плода сильно-вытянутая, цилиндрическая. Плоды очень мясистые, семечек совсем мало, кожица плотная. Длина плода 15-20 см, диаметр 4-5 см, красного цвета, массой до 200 г. Этот сорт хорошо растет как в теплицах, так и на открытом грунте.</t>
  </si>
  <si>
    <t>2000148380017</t>
  </si>
  <si>
    <t>Томат Аурия Желтая 10 шт. (Гр)</t>
  </si>
  <si>
    <t>Среднеспелый (90-105 дней от всходов до плодоношения), индетерминантный сорт, который порадует вас обилием неоново-жёлтых плодов редкой банановидной экзотической формой. Урожайность этого сорта вдвое больше чем у других томатов. В кисти формируется до 9 томатов, длиной до 15 см. Плоды плотные, гладкие, малосемянные, золотисто-медовые, массой 150 –200 г. Этот сорт хорошо растёт как в теплицах, так и в открытом грунте.</t>
  </si>
  <si>
    <t>2000227020018</t>
  </si>
  <si>
    <t>Томат Аурия Оранжевая 10 шт. (Гр)</t>
  </si>
  <si>
    <t>Среднеспелый (100-110 дней от всходов до плодоношения), индетерминантый сорт, который порадует Вас обилием уникальных по форме томатов. Куст сильный, мощный высотой более 2 м, формируется в 1-2 стебля. Завязывает 5-7 плодовых кистей на каждом стебле, с 6-7 апельсиново–оранжевыми, перцевидными плодами. Томаты весом до 200 г, длиной до 15 см. Кожица и мякоть плотные с малым количеством семян. Вкус мякоти приятный десертный. Плоды не трескаются на растении и в банках, хороши для засола, консервации и вяления. Долго хранящиеся - до 1 месяца после сбора урожая.</t>
  </si>
  <si>
    <t>2000232440016</t>
  </si>
  <si>
    <t>Томат Безумие Касади 10 шт. (Гр) 552750359</t>
  </si>
  <si>
    <t>Коллекционный сорт из США. Детерминантный, среднеранний (100-110 дней) сорт для теплиц и открытого грунта. Куст среднерослый, высотой 1,2-1,4 м (в открытом грунте до 1 метра). Требуется подвязка к опоре и пасынкование. Формировать этот сорт лучше всего в 3-4 стебля. Плоды одни из самых красивых, красные с золотистыми извилистыми полосками, очень вкусные, средней массой 100-150 г. Сорт больше подходит для засолки, не растрескивается, малосемянный и оригинально смотрится в банках. Эти помидоры хороши для свежего употребления и цельноплодного консервирования.</t>
  </si>
  <si>
    <t>2000251660013</t>
  </si>
  <si>
    <t>Томат Блюз на Блюде 10 шт. (Гр) 299210042</t>
  </si>
  <si>
    <t>Это среднеранний сорт томатов, который вырастает до 2 м в высоту в теплице. Чтобы получить хороший урожай, рекомендуется формировать куст в два стебля, регулярно удалять пасынки и подвязывать растение. У этого сорта гибкие стебли, напоминающие лианы. Он отличается высокой урожайностью и способностью выдерживать большую нагрузку на куст. Плоды этого сорта имеют округло-сливовидную форму, и светло-жёлтый цвет с густым чёрным антоцианом. Кажется, что помидорки светятся изнутри. Вес каждого плода составляет от 100 до 250 г. Эти томаты растут кистями. Мякоть у них густая, плотная и сладкая, почти без кислоты. Они отлично подходят для свежего потребления и приготовления соков.</t>
  </si>
  <si>
    <t>2000235830012</t>
  </si>
  <si>
    <t>Томат Веселый Гном 10 шт. (Гр) 272807613</t>
  </si>
  <si>
    <t>Раннеспелый (срок созревания 90-100 дней), низкорослый (высота куста 40-50 см) сорт. Его можно выращивать в открытом грунте, в небольших плёночных теплицах и на балконе. Крона небольшая и компактная. Стебель толстый и крепкий. Крону и плоды он держит хорошо, но из-за активного созревания томатов необходимо подвязывание. Форма цилиндрическая, вытянутая и с носиком (иногда носик вдавлен вовнутрь). Вес плодов около 80-90 г, длина 12-15 см. Кожура гладкая и не растрескивается. Оттенок зрелого плода - красный, незрелого - светло-зелёный. Мякоть плотная, сахаристая и мясистая, бледно-розового оттенка. Внутри одна камера, семян немного. Томаты универсальные, поэтому подойдут для употребления в свежем виде, для консервации и замораживания. На одном кусте созревает от 1,5 до 2 кг, с 1 м2 можно снять 5,4 кг томатов.</t>
  </si>
  <si>
    <t>2000264480011</t>
  </si>
  <si>
    <t>Томат Гном Алое сердце (Dwarf Scarlet Heart) 20 шт. (Гр) 532551002</t>
  </si>
  <si>
    <t>Этот детерминантный томат среднераннего созревания (100-115 дней) был создан в рамках проекта «Гном томатный». Он подходит для выращивания в открытом грунте, теплицах, а также в контейнерах на балконах и лоджиях. Компактный куст достигает высоты до 100 см. Он имеет крепкое строение и умеренную ветвистость. Плоды сердцевидной формы с небольшим носиком на вершине весят около 120-250 г. Зрелые томаты насыщенного алого цвета. Мякоть плотная, сочная, с небольшим количеством семян. Вкус сбалансированный, с выраженной сладостью и лёгкой кислинкой. Аромат насыщенный, характерный для томатов. При правильном уходе урожайность составляет 4-5 кг с куста. Сорт устойчив к основным заболеваниям томатов, особенно к фитофторозу. Плоды универсальны.</t>
  </si>
  <si>
    <t>2000264490010</t>
  </si>
  <si>
    <t>Томат Гном Балет Мелони (Dwarf Melanie’s Ballet) 20 шт. (Гр) 552549499</t>
  </si>
  <si>
    <t>Среднеспелый детерминантный сорт (100-115 дней) с компактным кустом до 100 см в высоту. Куст прямостоячий с морщинистыми листьями, типичными для большинства сортов линии «Гномов». Кисти простые, на каждой завязывается по 5–9 плодов, иногда двойные. Плоды сливовидные, с приплюснутым носиком, розового цвета, массой 60-100 грамм. Они плотные, мясистые, сладкие, с насыщенным ароматом. Долго сохраняют свежесть, не трескаются и отлично транспортируются. Урожайность одного куста при правильной агротехнике 4-7 кг. Идеально подходит для консервации и соусов. Устойчив к основным болезням томатов, не требует пасынкования. Удобен для выращивания в открытом и закрытом грунте.</t>
  </si>
  <si>
    <t>2000251230018</t>
  </si>
  <si>
    <t>Томат Гном Банановые Пальчики (Dwarf Banana Toes) 10шт. (Гр) 299241335</t>
  </si>
  <si>
    <t>Раннеспелый детерминантный сорт, достигающий в высоту 50 см, отличается высокой урожайностью. Куст мощный, с толстыми стеблями, поэтому не требует формирования. Плоды этого сорта имеют форму небольших сливок, окрашены в ярко-жёлтый цвет и весят примерно 50-100 г. Благодаря своему сладкому вкусу, они станут отличным лакомством для детей. Этот сорт можно выращивать как в теплице, так и в открытом грунте, а также в горшках. Он подходит для употребления в свежем виде, для вяленья и консервирования.</t>
  </si>
  <si>
    <t>2000251250016</t>
  </si>
  <si>
    <t>Томат Гном Бой с Тенью (Dwarf Shadow Boxing) 10шт. (Гр) 299242559</t>
  </si>
  <si>
    <t>Среднеспелый, детерминантный (высотой около 60-70 см) сорт с удивительными плодам! Томаты имеют необычную форму вытянутых сливок с носиком, их длина составляет около 8 см, а вес примерно 80 г. Одна из самых интересных особенностей этого сорта - окраска плодов. Они имеют красный фон с оранжевыми и малиновыми разводами. От плодоножки по всей кожуре проходит практически чёрная полоса антоциана, которая мягко переходит в тёмно-бордовый оттенок. Плоды обладают богатым помидорным вкусом с экстра-сладостью, лёгкой кислинкой и лёгким сливовым послевкусием. Мякоть розового цвета имеет отличную консистенцию - она мясистая, с низким содержанием сока. Зрелые томаты можно употреблять в свежем виде, а также использовать для цельноплодной консервации. Они также прекрасно смотрятся как в банках, так и в свежей нарезке благодаря своей разноцветной окраске. Рекомендуется выращивать этот сорт как в открытом грунте, так и в плёночных теплицах.</t>
  </si>
  <si>
    <t>2000264430016</t>
  </si>
  <si>
    <t>Томат Гном Борония (Dwarf Boronia) 30 шт. (Гр) 532540012</t>
  </si>
  <si>
    <t>Растение детерминантное, компактное, обычно достигает 60 см в высоту. У него крепкий прямостоячий куст и морщинистые широкие листья. Сорт не требует пасынкования и сложного формирования. Плоды имеют плоскоокруглую форму с лёгкой ребристостью. Их масса составляет 250-300 г. Окраска плодов пурпурно-розовая, с зелёными плечиками. Мякоть маслянистая и сочная. Вкус сладкий с лёгкой кислинкой, а аромат насыщенный, с дымными нотками. Кожица тонкая и гладкая. Сорт среднеспелый, созревает за 105-115 дней. Он хорошо завязывает плоды даже в лёгком затенении. Урожайность высокая - до 5-8 кг с куста. Подходит для выращивания в открытом грунте, теплицах и дома. Плоды универсальны.</t>
  </si>
  <si>
    <t>2000262440017</t>
  </si>
  <si>
    <t>Томат Гном Вермилион F1 (Vermilion) 10 шт. (Гр) 532531584</t>
  </si>
  <si>
    <t>Ранний, яркий и надёжный! Этот гибрид отлично подойдёт тем, кто ценит стабильность и высокое качество плодов. Уже через 63-67 дней после всходов растение начинает радовать насыщенно-розовыми томатами массой 180-220 г. Куст мощный, хорошо облиственный, устойчив к жаре, солнечным ожогам и растрескиванию, даёт высокий процент товарных плодов. Отлично растёт в поле, под плёнкой и на шпалере. Плоды прочные, сочные, с прекрасным вкусом – универсальны и красиво смотрятся в любой таре.</t>
  </si>
  <si>
    <t>2000265410017</t>
  </si>
  <si>
    <t>Томат Гном Восстание Боксёра (Dwarf Boxer Rebellion) 10 шт. (Гр) 552537719</t>
  </si>
  <si>
    <t>Детерминантный, среднеспелый сорт с продолжительным плодоношением до заморозков. Куст компактный, до 50 см в открытом грунте и до 90-100 см в теплице. Плоды удлинённые (10-15 см), с «носиком», весом 60-120 г. В зрелости окраска насыщенная: шоколадно-красная с жёлто-зелёными или бронзово-золотистыми полосами. Кожица устойчива к трещинам, мякоть плотная, мясистая, хорошо хранится и транспортируется. Вкус сбалансированный, с лёгкой кислинкой и пряными нотами. Подходит для салатов и домашней переработки: консервации, соусов, пасты и соков. Растение простое в уходе, подходит для выращивания без пасынкования. Подходит для выращивания в теплицах и в открытом грунте.</t>
  </si>
  <si>
    <t>2000251270014</t>
  </si>
  <si>
    <t>Томат Гном Дерзкая Мэри (Dwarf Saucy Mary) 10 шт. (Гр) 299238810</t>
  </si>
  <si>
    <t>Среднеспелый, детерминантный, высокоурожайный сорт томата. Куст этого сорта может достигать высоты от 60 до 100 см, в зависимости от способа выращивания. Листья крупные, простые, тёмно-зелёного цвета, морщинистые. Плоды имеют продолговато-сливовидную форму с небольшим заострением на конце, похожим на носик. Когда плоды созревают, они меняют цвет на светло-зелёный с тёмно-зелёными полосками и штрихами. Вес одного плода может варьироваться от 100 до 200 г. На одной кисти обычно образуется 4-6 плодов. Томат обладает прекрасным вкусом - он сладкий с лёгкой кислинкой и приятным ароматом. Мякоть томата маслянистая и сочная. Этот сорт отлично подходит для свежего употребления, а также для использования в различных блюдах.</t>
  </si>
  <si>
    <t>2000265430015</t>
  </si>
  <si>
    <t>Томат Гном Дикий Фред (Dwarf Wild Fred) 10 шт. (Гр)</t>
  </si>
  <si>
    <t>Редкая находка для тех, кто хочет собирать крупные, эффектные томаты даже с небольшой грядки. Этот компактный детерминантный сорт американской селекции достигает всего 50-80 см в высоту, но при этом стабильно радует урожаем. Среднеспелые растения начинают плодоносить через 110-115 дней после всходов и уверенно справляются с переменчивой погодой. Плоды крупные, массой 200-300 г, слегка приплюснутые, с лёгкой ребристостью у плодоножки. Их окраска особенно привлекательна: от тёмно-розового до коричнево-фиолетового, с характерной тёмно-зелёной «короной» у плодоножки. Сочная и нежная мякоть со сладковатым вкусом и лёгким пряным ароматом делает эти томаты идеальными для салатов, бутербродов и закусок, а также для консервирования. Плоды не растрескиваются, долго сохраняют свежесть на кусте, отлично хранятся и легко переносят транспортировку.</t>
  </si>
  <si>
    <t>2000265420016</t>
  </si>
  <si>
    <t>Томат Гном Король Арамис (Dwarf King Aramis) 10 шт. (Гр) 552529501</t>
  </si>
  <si>
    <t>Это детерминантный сорт высотой 70-120 см с густой листвой и морщинистыми листьями картофельного типа. Куст полураскидистый, требует подвязки из-за обильного плодоношения. Плоды массой 150-300 г имеют плоскоокруглую форму и потрясающий окрас - от пурпурно-малинового до коричнево-бордового и розового цветов с золотистым отливом и зелёными «плечами», что создаёт эффектный визуальный контраст. Мякоть плотная, мясистая, бордово-коричневая с розоватой сердцевиной, не трескается и отлично держится на кисти. Вкус - пряно-сладкий, насыщенный, с лёгкой кислинкой. Подходит для салатов, соусов, паст и фаршировки, не разваривается при термообработке. Сорт среднеспелый - первые плоды созревают через 105-115 дней после высадки рассады. Плодоношение обильное и продолжительное, урожай поступает волнами. Томат устойчив к болезням, неприхотлив в уходе и хорошо растёт как в открытом грунте, так и в теплице.</t>
  </si>
  <si>
    <t>2000262350019</t>
  </si>
  <si>
    <t>Томат Гном Маленький Лентяй 10 шт. (Гр) 493371620</t>
  </si>
  <si>
    <t>Этот сорт радует высокой урожайностью и привлекательным внешним видом, что делает его универсальным для выращивания как на улице, так и в теплице. Он отличается компактностью, крупными плодами и ранним созреванием. Растение начинает плодоносить через 95-100 дней после появления всходов, что относит его к скороспелым сортам. Плоды насыщенного красного цвета, сердцевидной формы и гладкой кожицей. Средний вес одного плода - 300 г, но на первой кисти могут вырасти экземпляры до 600 г. Мякоть нежная, сочная и очень сладкая, что идеально для салатов. При правильном уходе с одного куста можно собрать до 6 кг плодов. При интенсивной агротехнике и удобрениях урожайность достигает 15 кг/м2.</t>
  </si>
  <si>
    <t>2000262360018</t>
  </si>
  <si>
    <t>Томат Гном Маленький Лентяй Розовый 10 шт. (Гр) 504453219</t>
  </si>
  <si>
    <t>Низкорослый розовоплодный среднеранний сорт, который отлично подойдёт дачникам для выращивания томатов в открытом грунте. Плоды созревают на 100-105 день от появления всходов. Растение неприхотливо, не требует укрытий, формировки и пасынкования куста, гарантирует стабильные и высокие урожаи. Куст штамбовый, стебель толстый, устойчивый, высотой до 30-40 см, в рассаде не вытягивается. Плоды округлые, розовые, массой 150-250 г, спрятаны под листья, хорошо вызревают в открытом грунте. Томаты универсального назначения, вкусны как в свежем, так и в консервированном виде.</t>
  </si>
  <si>
    <t>2000251280013</t>
  </si>
  <si>
    <t>Томат Гном Малиновая Нерка 10 шт. (Гр) 299240326</t>
  </si>
  <si>
    <t>Этот среднеспелый сорт томата отличается компактностью и высокой урожайностью, что делает его идеальным выбором для небольших садов или контейнерного выращивания! Куст томата достигает высоты около 60 см. Созревание плодов происходит через 110-120 дней после появления всходов. Зрелые томаты имеют плоскоокруглую форму и шоколадно-малиновый цвет с оливково-бронзовыми штрихами и полосами. Вес плодов составляет примерно 150-200 г. Они обладают насыщенным вкусом и сочной мякотью, что делает их не только отличным выбором для употребления в свежем виде, но и для использования в различных кулинарных рецептах. Сорт отличается своей неприхотливостью, поэтому даст хороший урожай даже начинающим огородникам.</t>
  </si>
  <si>
    <t>2000251290012</t>
  </si>
  <si>
    <t>Томат Гном Маралинга 10 шт. (Гр) 299229617</t>
  </si>
  <si>
    <t>Этот среднеспелый сорт томата созревает примерно за 105-115 дней. Растение достигает высоты около 70 см и имеет обычные морщинистые листья. Его можно выращивать как в теплице или на балконе, так и в открытом грунте. Плоды имеют плоскоокруглую форму, шоколадно-красный окрас и мясистую малиновую мякоть. Вес плодов составляет примерно от 80 до 200 г. Этот сорт отличается устойчивостью к различным заболеваниям и вредителям, что делает его надёжным выбором для садоводов. Помидоры этого сорта очень сочные, ароматные и вкусные. Они идеально подходят для свежего потребления, приготовления салатов, сэндвичей, а также для создания насыщенного сока и соусов.</t>
  </si>
  <si>
    <t>2000240280017</t>
  </si>
  <si>
    <t>Томат Гном Отчаянный 10шт. (Гр) 272809004</t>
  </si>
  <si>
    <t>Суперурожайный, среднеспелый сорт родом из США. Детерминантный, компактный куст отлично плодоносит в горшках и контейнерах. Центральный стебель мощный, толстый. Высота зависит от места выращивания, в открытом грунте достигает 60-70 см, в защищённом 85-95 см, максимум 110-120 см. Созревание начинается через 108-113 дней после появления всходов. Плоды розово-малиновые, мясистые, с нежной и сладкой мякотью, не растрескиваются. Средняя масса составляет 60-80 г. Сорт устойчив к комплексу заболеваний культуры, стабильно плодоносит при скачках погодных условий, не требует пасынкования.</t>
  </si>
  <si>
    <t>2000251470018</t>
  </si>
  <si>
    <t>Томат Гном Полосатый Перец 10 шт. (Гр) 299234693</t>
  </si>
  <si>
    <t>Среднеспелый, низкорослый и очень урожайный сорт. Куст раскидистый, высотой около 50-60 см. Листья простые, слегка гофрированные. Плодоношение продолжительное, длится до самых заморозков. Томаты этого сорта не подвержены болезням, не осыпаются в жару, не трескаются при передержке на кусте. Плоды перцевидной формы, красного цвета с золотистыми полосками. Они плотные, мясистые, с толстыми стенками и малым количеством сока. Вес плодов составляет примерно 80-150 г. Вкус томатов - с лёгкой кислинкой и сладостью. Сорт отлично подходит для вяления и консервации благодаря своим характеристикам.</t>
  </si>
  <si>
    <t>2000232450015</t>
  </si>
  <si>
    <t>Томат Гном Пурпурное Сердце 10шт. (Гр) 299452232</t>
  </si>
  <si>
    <t>Среднеспелый (100-105 дней), детерминантный, редкий сорт томата для открытого грунта и плёночных укрытий. Куст штамбовый, высотой до 0,5-0,7 м, не требует пасынкования (или до первой кисти). Лист морщинистый, обычного типа. Плоды сердцевидные, в стадии зрелости пурпурно-бордового цвета, весом 100-200 г, мясистые, малосемянные, хорошего вкуса. Плоды отличаются не только оригинальной окраской, но и очень хорошим вкусом. Желеобразная, не рыхлая мякоть, маслянистая, на вкус с лёгким фруктовым ароматом, пикантная, скорее сладкая, чем кислая. Эти томаты лучше всего подходят для свежего потребления и получения соков. Урожайность до 2 кг с одного куста.</t>
  </si>
  <si>
    <t>2000235770011</t>
  </si>
  <si>
    <t>Томат Гном Стринги 10шт. (Гр) 272812103</t>
  </si>
  <si>
    <t>Среднеспелый (срок созревания 110-120 дней), среднерослый (высота куста 80-120 см) сорт из серии томатов-гномов. Плоды имеют крупную, плоскоокруглую форму. На этапе вызревания окрас помидор бывает тёмно-оливковый, почти фиолетовый. Спелые томаты имеют розовато-пурпурный цвет с зелёными полосками. Каждый плод весом от 150 до 250 г. Если разрезать плод, то на срезе видна тёмно-вишневая мякоть. На вкус томаты сахаристые, наливные и толстомясые. Можно почувствовать вкус пряностей и ароматный запах. Этот сорт отличается хорошей транспортабельностью, степень хранения оценивается по высокому классу. Урожайный сорт, с куста можно собрать около 3 кг помидор. Из-за высокой урожайности требуется подвязка растений к шпалере, и следует проводить частичное пасынкование. Отличная урожайность наблюдается при формировании куста в 2-3 стебля.</t>
  </si>
  <si>
    <t>2000251490016</t>
  </si>
  <si>
    <t>Томат Гном Трибулине 10 шт. (Гр) 299244910</t>
  </si>
  <si>
    <t>Этот среднеспелый сорт предназначен для выращивания в открытом грунте. Кусты вырастают до 60 см в высоту, листья у них обычного типа, с характерными морщинками. Плоды имеют оригинальную форму «сосисок» с небольшим носиком. Их цвет ярко-красный с жёлто-оранжевыми полосками. Вес плодов составляет 100-150 г. Они очень плотные, не растрескиваются и не гниют, что делает их идеальными для транспортировки и хранения. Мякоть плодов сладкая и сочная, имеет сахаристую консистенцию. Вкус замечательный. Эти плоды универсальны в использовании: их можно вялить, консервировать целиком или употреблять в свежем виде. Сорт отличается высокой болезнеустойчивостью и урожайностью. Он плодоносит до самых заморозков, радуя вас вкусными и полезными плодами.</t>
  </si>
  <si>
    <t>2000235790019</t>
  </si>
  <si>
    <t>Томат Гном Улуру Охра 10шт. (Гр) 272816585</t>
  </si>
  <si>
    <t>Низкорослый, среднеспелый, урожайный сорт из серии томатов-гномов с кустом высотой 50-60 см. Томаты плоскоокруглые, чуть ребристые сверху. Особенностью формы являются пышные «плечи», словно одетые в рукава «фонарики» со складками. По мере созревания оттенок меняется с золотисто-зелёного на оранжево-охристый. Кожица плотная, не растрескивается. Мякоть солнечно-горчичного цвета сочная, маслянистая, нежная, но мясистая. Небольшие семенные камеры расположены близко к стенкам, семян мало. Плоды достаточно крупные, 200-300 г, хотя по размеру бывает большой разброс (от 100 до 400 г). Некоторым огородникам удается выращивать даже килограммовые томаты. Вкусовые качества сорта заслуженно получают самые высокие оценки. Сладкий, с яркими фруктовыми нотами и пряностью, этот томат особенно хорош в салатах, но пойдет и для переработки на соусы.</t>
  </si>
  <si>
    <t>2000264500016</t>
  </si>
  <si>
    <t>Томат Гном Хоскинс Баргер (Dwarf Hoskins Barger) 20 шт. (Гр) 552533063</t>
  </si>
  <si>
    <t>Этот уникальный сорт из серии «Гном томатный» отличается компактным ростом и превосходным вкусом. Детерминантное растение формирует крепкий, но невысокий куст высотой около 90 см. Куст умеренно ветвистый и облиственный, что делает его удобным для выращивания в открытом грунте и теплицах. Плоды крупные, округлой формы, слегка приплюснутые, розово-малинового цвета. Средний вес плодов составляет 150-250 г. Мякоть плотная, сочная, с небольшим количеством семян. Вкус сладкий с легкой кислинкой, аромат насыщенный и богатый. Особенно ценятся за высокие вкусовые качества. При правильном уходе урожайность достигает 3-4 кг с куста. Сорт устойчив к основным заболеваниям томатов и неблагоприятным погодным условиям. Плоды универсальны: подходят для салатов, соусов, сока и консервирования благодаря плотной мякоти. Этот сорт станет отличным выбором для садоводов, ценящих компактные растения с необычными плодами.</t>
  </si>
  <si>
    <t>2000251500012</t>
  </si>
  <si>
    <t>Томат Гном Щедрость Лауры 10 шт. (Гр) 299247027</t>
  </si>
  <si>
    <t>Интересный среднеспелый сорт томата, который обладает высокой устойчивостью к различным заболеваниям и экстремальным погодным условиям. Он прекрасно подходит для домашнего садоводства, так как не требует особого ухода и внимания. Куст достигает высоты около 70 см. Плоды имеют удлинённую сливовидную форму и оранжево-охристый цвет. Масса помидор составляет от 80 до 120 г. Вкус этого томата удивит даже самых искушённых гурманов. Он густой, насыщенный и очень сладкий. Мякоть плодов плотная, маслянистая и невероятно нежная. Этот сорт идеально подходит для употребления в свежем виде, а также для использования в различных блюдах.</t>
  </si>
  <si>
    <t>2000232460014</t>
  </si>
  <si>
    <t>Томат Диковинный Цветок  10шт. (Гр) 274211465</t>
  </si>
  <si>
    <t>Суперурожайный, болезнеустойчивый с необычной формой плодов! Редкий необычайный сорт, среднего срока созревания, высокорослый (высота куста 1,5 м). Плоды массой от 500 до 1000 г, красного цвета. Поверхность приплюснутая, исчерчена многочисленными выступающими ребрами, напоминая тем самым диковинный цветок. Мякоть плотная, сладкая, мясистая, вкус отменный. Для открытого грунта и теплиц.</t>
  </si>
  <si>
    <t>2000230210017</t>
  </si>
  <si>
    <t>Томат Долговязая Салли малиновая 10шт. (Гр)</t>
  </si>
  <si>
    <t>Среднеспелый кистевой сорт, отличающийся обильным плодоношением, бесподобно-сладким вкусом, отличной лежкостью и универсальностью томатов экзотической формы. Не сложен в культивации, может выращиваться в теплицах и открытом грунте (в коловой культуре). Растение индетерминантное, высотой до 2 м, обильно и часто завязывает плодовые кисти с 6-8 плодами средней массой 200 г. Плоды первых кистей особо крупные, могут достигать веса 400 г. Томаты перцевидные, с заостренной загнутой верхушкой. Мякоть плотная, малиновая, сахаристая. Кожица плотная, устойчива к растрескиванию, что позволяет долго хранить и прекрасно консервировать плоды.</t>
  </si>
  <si>
    <t>2000227000010</t>
  </si>
  <si>
    <t>Томат Долговязая Салли пурпурная 10 шт.  (Гр)</t>
  </si>
  <si>
    <t>Интересный сладко-десертный вкус, с легкими фруктовыми оттенками. Среднеспелый, индетерминантный сорт. Плоды тёмные, бордово-кофейного окраса. Форма перцевидная с заостренной верхушкой. Томаты массой 150-200 г каждый, особо крупные экземпляры достигают веса 300 г. Мякоть маслянистая, плотная, однородного цвета с толстыми тёмно-бордовыми мясистыми стенками. Благодаря плотной кожице томаты могут долго хранятся свежими (до 2 месяцев) и прекрасно консервируются. Не трескаются при термической обработке. Сорт достаточно устойчив к основным заболеваниям. Потенциальная урожайность до 7 кг с растения.</t>
  </si>
  <si>
    <t>2000139070019</t>
  </si>
  <si>
    <t>Томат Жигало 10 шт. (Гр)</t>
  </si>
  <si>
    <t>Среднеспелый (90-105 дней от всходов до плодоношения). Детерминантный (40-45 см) сорт, который порадует вас обилием уникальных по форме томатов. Форма плода сильно вытянуто-цилиндрическая, длина плода 12-15 см. Томаты красного цвета массой 120-140 г. Сорт прекрасно подходит для консервирования и в салаты, можно резать кружочками, замечательно подходит для фаршировки и приготовления аджики. Плоды очень мясистые, семечек совсем мало кожица плотная.</t>
  </si>
  <si>
    <t>2000166470011</t>
  </si>
  <si>
    <t>Томат Жигало Желтый 10 шт. (Гр)</t>
  </si>
  <si>
    <t>Раннеспелый (85-100 дней от всходов), детерминантный сорт (в открытом грунте 60-80 см, в теплице до 1,5 м) порадует Вас обилием уникальных по форме томатов. Форма плода сильно–вытянуто-цилиндрическая, насыщенного желтого цвета. Длина плода 12–15 см, масса 100-120 г. Мякоть у томата мясистая, семян мало, кожица плотная, не растрескивается. Назначение сорта универсальное. Подойдет для употребления в свежем виде и для различных видов переработки.</t>
  </si>
  <si>
    <t>2000166470028</t>
  </si>
  <si>
    <t>Томат Жигало Оранжевый 10 шт. (Гр)</t>
  </si>
  <si>
    <t>Восхитительный сорт кистевого томата, который поразит вас своим внешним видом и очень высоким урожаем. Раннеспелый (85-100 дней от всходов), детерминантный сорт (в открытом грунте 60-80 см, в теплице до 1,5 м ) порадует вас обилием уникальных по форме томатов. Форма плода сильно–вытянуто-цилиндрическая, насыщенного желтого цвета. Длина плода 12-15 см, масса 100-120 г. Мякоть у томата мясистая, семян мало, кожица плотная, не растрескивается. Назначение сорта универсальное. Подойдет для употребления в свежем виде и для различных видов переработки.</t>
  </si>
  <si>
    <t>2000124830017</t>
  </si>
  <si>
    <t>Томат Загадочный Странник 10 шт. (Гр) 274233101</t>
  </si>
  <si>
    <t>Ранний, индетерминантный, высотой до 2 м. Плоды красные бесформенные (как головка чеснока, как виноградная гроздь, как множество сросшихся черри). Вес плода от 200 г и до 1 кг. Назначение: свежее потребление.</t>
  </si>
  <si>
    <t>2000250200012</t>
  </si>
  <si>
    <t>Томат Звездный Истребитель Бифштекс Марши 5 шт. (Гр) 299216668</t>
  </si>
  <si>
    <t>Этот сорт привлекает внимание своими красивыми тёмными плодами и высокой урожайностью. Он уже получил заслуженное признание среди садоводов, которые выращивают его в разных регионах страны. Относится к среднеспелым и созревает за 105-115 дней. Растение достигает 1,8 м в высоту в теплице и до 1,5 м в открытом грунте. Листья у него пониклые, а стебли прочные и толстые. Плоды очень красивые. Они имеют форму бифштекса и переливаются всеми оттенками коричневого цвета с полосками. Вес одного помидора составляет 300-400 г. Вкус у них отличный, сбалансированный, с выраженной сладостью. В недозрелом виде на плодах явно видны полоски по верху. Если разрезать спелый помидор, то можно увидеть, что мякоть у него красивого тёмно-вишнёвого цвета, густая и сочная. Вкус полностью сбалансирован, с небольшим присутствием терпких ноток.</t>
  </si>
  <si>
    <t>2000250210011</t>
  </si>
  <si>
    <t>Томат Звездный Истребитель Сердце Марши 5 шт. (Гр) 299218478</t>
  </si>
  <si>
    <t>Индетерминантное, высокорослое растение, достигающее примерно двух метров в высоту. Этот среднеспелый сорт отличается от других сердцевидных сортов своими пониклыми, прижатыми листьями. Формируется в два-три стебля и требует обязательной подвязки. На одной кисти может быть от пяти до семи плодов сердцевидной формы. Когда плоды полностью созревают, они приобретают тёмно-красно-оранжевый цвет с зелёными полосками и штрихами. Вес плодов варьируется от 150 до 350 г. Вкус плодов сладкий с лёгкой терпкостью. Они универсальны в использовании. Этот сорт обладает высокой болезнеустойчивостью и отличается хорошей урожайностью. Это действительно экзотическое растение!</t>
  </si>
  <si>
    <t>2000251510011</t>
  </si>
  <si>
    <t>Томат Знаменитая Клубника Миссис Шлаубо 5 шт. (Гр) 532570109</t>
  </si>
  <si>
    <t>Индетерминантный среднеспелый сорт. Высота растения составляет примерно 1,9 м. Этот сорт рекомендован для выращивания во всех климатических зонах страны, но особенно высокие урожаи он даёт в теплицах. Куст томата имеет сильный центральный стебель и гибкие лиановидные ветви. Листья умеренной густоты, зелёного цвета. Корневая система хорошо развита. На каждой плодовой кисти образуется от 4 до 6 плодов. Они имеют малиновый цвет, сердцевидную форму, иногда с лёгкой ребристостью поверхности и немного удлинённой формой сердца. Вес плодов составляет около 300-600 г. Это один из самых сладких крупноплодных сортов томата. Мякоть плодов сахарная крупчатая, что делает их особенно вкусными. Сорт неприхотлив в выращивании и обладает хорошим иммунитетом к многим болезням. Помидоры можно есть свежими, добавлять в салаты и другие блюда, мариновать, перерабатывать на заправки и напитки.</t>
  </si>
  <si>
    <t>2000166390012</t>
  </si>
  <si>
    <t>Томат Квадратный Полосатый (Полосатая Пещера) 10шт. (Гр) 198904294</t>
  </si>
  <si>
    <t>Индетерминантный среднеспелый сорт для теплиц и открытого грунта, высотой до 1,8 метра (в открытом грунте до 1-1,2 метра). Сверхурожайный - ведро плодов с куста! Плоды до 200 г, срезаются кистями по 5 штук в каждой. Имеют необычную форму - они квадратные, поделены на 3-4 дольки, отличается оригинальным цветом - красные, с золотистым узором. Плоды сорта хороши для салатов, особо удаются в фаршированном и запеченном виде. Их морозят, вялят кусочками. Томаты отличаются приятным сладко-медовым вкусом с едва ощутимой кислинкой. Лежкость этого сорта до 1 месяца.</t>
  </si>
  <si>
    <t>2000265440014</t>
  </si>
  <si>
    <t>Томат Королевский Палец (Royal Finger) 10 шт. / НОВИНКА</t>
  </si>
  <si>
    <t>Среднеспелый (102-112 дней) детерминантный сорт, достигает высоты 1,2-1,4 м. Куст формируется в один или два стебля и требует подвязки. Тонкие листья создают куст среднего типа с хорошей облиственностью. Плоды пальцевидной формы, ярко-красные, удлинённые, массой 50-90 г и длиной до 15 см. Они растут плотными кистями по 10-15 штук, что придаёт растению декоративный вид. Плотная кожица не трескается при созревании, обеспечивая хорошую транспортабельность и удобство при консервации. Мякоть нежная, мясистая и малосемянная. Вкус классический томатный – сладковатый с лёгкой кислинкой. Томат подходит для салатов, сушки, вяления и консервации целиком. Сорт высокоурожайный: при правильном уходе с одного растения можно собрать до 6-8 кг плодов. Рекомендуется выращивать его в открытом грунте или парниках, особенно в тёплых регионах.</t>
  </si>
  <si>
    <t>2000139570014</t>
  </si>
  <si>
    <t>Томат Курочка Ряба 10 шт. (Гр) 690390719</t>
  </si>
  <si>
    <t>Растение прикрывает плоды своими листьями, как курица цыплят. Это несомненный плюс этого сорта, так как в жаркое лето помидоры не придётся укрывать от солнца. Детерминантный ультраранний томат. Сами растения стелющиеся, низкорослые – всего 30-50 см высотой. Пасынкование не требуется. Плоды округло-вытянутые, плотные, розовато-красные, с желтыми полосками, весом 100-150 г. Урожайность очень высокая. Лёгкость и транспортабельность томатов хорошая. Данный сорт отлично подходит как для потребления в свежем виде, так и для консервирования.</t>
  </si>
  <si>
    <t>2000166380013</t>
  </si>
  <si>
    <t>Томат Курочка Ряба Розовая 10 шт. (Гр)</t>
  </si>
  <si>
    <t>Прекрасный раннеспелый, низкорослый, стелющийся сорт, с очень красивыми плодами. Помидоры округло-куловидные, плотные, пастельно-розоватые, с жёлтыми полосками, весом 100-150 г. Урожайность очень высокая. Лёжкость и транспортабельность томатов хорошая. Данный сорт отлично подходит как для употребления в свежем виде, так и для консервирования.</t>
  </si>
  <si>
    <t>2000171690015</t>
  </si>
  <si>
    <t>Томат Мексиканские Маракасы 10 шт.(Гр) 274823406</t>
  </si>
  <si>
    <t>Индетерминантный (высотой 1,2-1,3 м, в теплице до 1,8 м), урожайный, среднеспелый (95-110 дней) сорт томата, необычной оригинальной формой плодов похожей на маракасы. Сорт отлично плодоносит как в теплице, так и в открытом грунте. Томаты мясистые, с малым количеством семян, массой 120-150 гр. Плоды вкусные как в свежем виде, так и во всех видах консервации, прекрасно подходят для сушки и вяления.</t>
  </si>
  <si>
    <t>2000234840012</t>
  </si>
  <si>
    <t>Томат Минусинская Сливка Низкая 10шт. (Гр) 273256559</t>
  </si>
  <si>
    <t>Мощное растение с высокой урожайностью и красивыми плодами! Среднеранний срок созревания (64-68 дней). Хорошо облиственное растение с высокой и стабильной продуктивностью, детерминантное. Привлекательные, однородные плоды насыщенно - красного цвета. Плоды сливовидной формы, массой 120-140 г с высокими вкусовыми качествами. Хорошая лёжкость и транспортабельность. Предназначен для свежего потребления и цельноплодного консервирования. Томат для открытого грунта с высокой адаптацией.</t>
  </si>
  <si>
    <t>2000251530019</t>
  </si>
  <si>
    <t>Томат Минусинские Бычки 5 шт. (Гр) 299457567</t>
  </si>
  <si>
    <t>Среднеспелый сорт томатов, который отличается высоким выходом красивых плодов. Плоды среднего размера, весом около 250 г, имеют красивый малиновый цвет. Форма плодов - сливовидная, удлиненная, с небольшим носиком. Мякоть умеренно плотная, мясистая и сочная, с небольшим количеством семенных камер. Вкус томатов приятный, сладкий, с едва заметной кислинкой, что делает их идеальными для использования в кулинарии. Урожайность этого сорта хорошая: с одного куста можно получить до 5-6 кг томатов. Они отлично хранятся и могут быть транспортированы без потери качества. Эти томаты подходят для употребления в свежем виде, а также для приготовления соусов, пюре, соков. Кроме того, из них можно делать цельноплодные консервы.</t>
  </si>
  <si>
    <t>2000232410019</t>
  </si>
  <si>
    <t>Томат Минусинские Лимончики 10шт. (Гр) 203566795</t>
  </si>
  <si>
    <t>Очень урожайный, пластичный и красивый сорт! Ранний, индетерминантный (куст высотой до 170 см) сорт. Томатики не перерастают в гигантов, кисти выдерживают без подвязки, хотя вес кистей до 1,5 кг! Помидорки красивой формы, одномерные, необычайно плотные, с хорошей текстурой для термической обработки. Кисть простая и промежуточная, состоит из 7-12 плодов. Средняя масса плодов 100-120 г. Форма плодов удлинённо-округлая (пухлые сливки). Цвет жёлто-оранжевый. Вкус томатов сладкий и маслянистый, кислоты мало, практически нет. Мякоть плотная, мясистая. Сорт прекрасно подходит для засолки, заморозки, его удобно вялить.</t>
  </si>
  <si>
    <t>2000251550017</t>
  </si>
  <si>
    <t>Томат Минусинские Стаканы Красные 10 шт. (Гр) 299552474</t>
  </si>
  <si>
    <t>Это высокорослый сорт, который может достигать высоты от 1,5 до 1,8 м. Он относится к раннеспелым сортам, созревает за 95-100 дней. Кусты этого сорта имеют тонкие, но прочные стебли и побеги, которые необходимо подвязывать. Растения образуют много пасынков, которые нужно регулярно удалять. Для получения крупных плодов рекомендуется выращивать культуру в один стебель. Плоды крупные, массой около 100-250 г. Они имеют удлинённую сливовидную форму и красный цвет. В одной кисти обычно формируется 3-5 плодов. Мякоть средней плотности, мясистая, без пустот. Этот сорт является универсальным, его можно использовать для различных целей: употреблять в свежем виде, консервировать, делать густой сок, использовать для вяления и хранения. Выращивать его можно как в теплице, так и в открытом грунте.</t>
  </si>
  <si>
    <t>2000251560016</t>
  </si>
  <si>
    <t>Томат Минусинские Шары 5 шт. (Гр) 299574835</t>
  </si>
  <si>
    <t>Это высокорослый индетерминантный сорт томата среднего срока созревания. Куст у него довольно открытый, достигает высоты 1,8-2 м. Листья светлые, могут скручиваться, что является особенностью этого сорта. Плоды этого томата огромные, весом примерно 500 г. Они имеют красивый малиново-красный цвет и плотную структуру. Однако, что делает этот сорт особенно привлекательным, так это их повышенная сахаристость. Мякоть сладкая, малосемянная и мясистая, а на изломе она выглядит как сахар. Спелые плоды этого томата идеально подходят для употребления в свежем виде, приготовления нарезки и салатов, как летних, так и зимних. Они также отлично подходят для варки соков и соусов, а также для приготовления томатной пасты.</t>
  </si>
  <si>
    <t>2000251570015</t>
  </si>
  <si>
    <t>Томат Минусинский Бочковой 5 шт. (Гр) 299568368</t>
  </si>
  <si>
    <t>Индетерминантный сорт томата, который достигает высоты 1,8 м. Созревает в среднем за 110-120 дней. Куст формируют в 1-2 стебля. Растение нуждается в подвязке к опоре и пасынковании. Плоды имеют бочкообразную форму с небольшой ребристостью. Они достаточно крупные, весом от 250 до 350 г, но встречаются и настоящие гиганты - до 500 г. Вкус у этих томатов сладковатый и приятный, с классическим томатным ароматом. Мякоть красного цвета, мясистая и сочная. Томаты этого сорта идеально подходят для употребления в свежем виде, прямо с куста. Они также отлично подходят для приготовления соков, соусов и салатов. Кроме того, эти томаты прекрасно переносят консервирование. Они подходят для бочкового засола, что делает их вкус ещё более насыщенным. Этот сорт устойчив к болезням и различным климатическим условиям. Плоды хорошо сохраняются и легко транспортируются.</t>
  </si>
  <si>
    <t>2000251580014</t>
  </si>
  <si>
    <t>Томат Минусинский Гигант Красный 5 шт. (Гр)</t>
  </si>
  <si>
    <t>Среднеспелый, крупноплодный сорт томата, период созревания плодов составляет 110-125 дней. Растение высокорослое, индетерминантное, может достигать высоты до 2,5 м. Листья обычного типа. Для правильного развития растения требуется подвязка к опоре и пасынкование. Наилучшие результаты получаются при формировании куста в 1 или 2 стебля. Плоды этого сорта имеют плоскоокруглую форму, среднюю плотность и насыщенный красный цвет в стадии зрелости. Вес плодов составляет 300-700 г, но часто достигает 1 кг. Мякоть плодов мясистая, очень сладкая и сочная, с характерным «арбузным» вкусом. Этот сорт томатов отлично подходит для употребления в свежем виде, добавления в летние и зимние салаты, нарезки, овощных рагу. Также его можно использовать для приготовления соков, соусов, томатной пасты и консервирования кусочками.</t>
  </si>
  <si>
    <t>2000251590013</t>
  </si>
  <si>
    <t>Томат Минусинский Гигант Розовый 5 шт. (Гр) 299586537</t>
  </si>
  <si>
    <t>Это высокорослый (до 2 м) среднеспелый сорт, который созревает через 115–125 дней после появления всходов. Он очень урожайный и крупноплодный. Лучше всего выращивать этот сорт, формируя куст в 1 или 2 стебля. Листья у него обычного типа, а в кистях завязывается по 3-5 плодов. Плоды имеют плоскоокруглую форму с рёбрами. Они насыщенного розового или даже малинового цвета, а их масса составляет примерно 400-700 г. Мякоть плодов мясистая, содержит много сахаров, довольно плотная и обладает сбалансированным вкусом с классической томатной сладостью. Плодоношение этого сорта растянутое и продолжается до самых заморозков. Этот томат идеально подходит для приготовления салатов и ароматного томатного сока.</t>
  </si>
  <si>
    <t>2000251600019</t>
  </si>
  <si>
    <t>Томат Минусинский Домашний 5 шт. (Гр) 299581447</t>
  </si>
  <si>
    <t>Этот раннеспелый сорт томатов отличается высокой урожайностью и превосходным вкусом! Он подходит для выращивания как в теплицах, так и в открытом грунте. Куст достигает высоты примерно 1,6-1,8 м. Рекомендуется формировать куст в 1 или 2 стебля для достижения наилучших результатов. На каждой кисти формируется от 3 до 5 плодов, а на главном стебле может быть от 5 до 7 кистей. Плоды имеют малиновый цвет, сердцевидную форму и весят около 300–500 г. Мякоть очень сочная, сладкая и мясистая с небольшим количеством семян. Вкус сладкий, с характерным ароматом и приятным послевкусием. Благодаря большому количеству сока, помидоры этого сорта особенно сочные и вкусные. Они идеально подходят для употребления в свежем виде, а также для приготовления пасты, соусов и кетчупа.</t>
  </si>
  <si>
    <t>2000232060016</t>
  </si>
  <si>
    <t>Томат Минусинский Кистевой 10шт. (Гр) 273750594</t>
  </si>
  <si>
    <t>Устойчив к неблагоприятным условиям выращивания и фитофторе. Сорт кистевого типа и продолжительного плодоношения. Урожай богатый, длительное время может висеть на кустах без потери вкуса и товарных качеств, томаты отличные в лёжке. Среднеспелый, индетерминантный (до 160-180 см). Универсален в применении. Подходит для консервации. Плотная кожица отлично выдерживает термическую обработку, плоды удлинённой формы удобно и плотненько укладываются в банки. Томаты данного сорта очень любят замораживать и вялить.</t>
  </si>
  <si>
    <t>2000227940019</t>
  </si>
  <si>
    <t>Томат Минусинский Крупноплодный 10 шт. (Гр) 273265873</t>
  </si>
  <si>
    <t>Максимальный вес плодов может достигать 1 кг. Среднеспелый, индетерминантный, стрессоустойчивый сорт с изумительным вкусом, для открытого грунта и плёночных теплиц. Хорошо переносит жёсткие температурные колебания. Растение мощное, высотой до 2 м. Кисти сложные, с 5-6 крупными плодами средней массой 400-500 г. Томаты округлые, с аккуратно-вытянутым носиком на вершине, ярко-красного цвета. Мякоть вкусная, сочная, мясистая, с малым количеством семян. Вкус плодов отличный.</t>
  </si>
  <si>
    <t>2000232750016</t>
  </si>
  <si>
    <t>Томат Минусинский Низкорослый Крупный 10 шт. (Гр) 299646432</t>
  </si>
  <si>
    <t>Беспроигрышный вариант для "ленивого" дачника. Упрямо растёт, ничем не болеет, ухода минимум (можно не пасынковать и не подвязывать). Среднеранний, детерминантный (куст высотой 50-60 см). Кисть простая и промежуточная, состоит из 5-8 плодов. Можно обойтись без формировки, но удачнее результат при ведении куста в два-три стебля. Растение даёт плоды с хорошим вкусом, одномерные, товарные, лёжкие, массой 250-350 г. Томат салатного типа. Из-за крупного размера плодов для цельноплодного консервирования его практически не используют, а для зимних салатов, соков, соусов - вполне пригоден! Снятые недозревшими плоды успешно дозариваются. Стабильный и качественный сорт.</t>
  </si>
  <si>
    <t>2000234850011</t>
  </si>
  <si>
    <t>Томат Минусинский Низкорослый Розовый 10шт. (Гр) 203568867</t>
  </si>
  <si>
    <t>Это розовоплодный, детерминантный биф-томат для открытого грунта. Оптимальное сочетание скороспелости (65-69 дней), крупноплодности и мощности растения. Стабильная завязываемость в любых условиях. Имеет высокие вкусовые качества. Идеально сбалансированная сладость и свежесть, выраженный помидорный аромат. Плоды массой 240-280 г, ярко-розовой окраски. Многокамерные, сочные и мясистые, они прекрасно подходят для салатов и супов, а также для варки кетчупа и томатной пасты. Урожайность средняя, под плёночными укрытиями 14,2 кг на м².</t>
  </si>
  <si>
    <t>2000235460011</t>
  </si>
  <si>
    <t>Томат Минусинский Пестрый 10 шт. (Гр) 273269765</t>
  </si>
  <si>
    <t>Растения хорошо облиственные, с прочными стеблями. Помидоры крупные, до 300 г. Кисти приходится подвязывать, чтобы они не надломились. Плоды с толстой прочной шкуркой, форма удлиненная, сливовидная. Окраска зрелых помидорин красно-желтая. По всей поверхности плода, от верхушки до носика, идут, чередуясь, разноцветные полоски. Поверхность неребристая, блестящая. На кисти формируется до 7 томатов, средним весом 150 г. С одного куста снимают до 4 кг, причем урожай высок в любой год. Благодаря плотной кожице помидоры превосходно транспортируются и долго лежат при комнатной температуре.</t>
  </si>
  <si>
    <t>2000232390014</t>
  </si>
  <si>
    <t>Томат Минусинский Пудовик Розовый 10шт. (Гр) 273753314</t>
  </si>
  <si>
    <t>Суперсладкий деликатес! Сорт ранний, индетерминантный (высота куста 180-200 см). Рекомендуется выращивать в два стебля с обязательным пасынкованием и подвязыванием. Шикарно вяжет плоды в любую погоду. Кусты усыпаны малиново-розовыми томатами! Сорт лёжкий, отлично дозаривается и хранится. Средний вес плодов около 350-400 г, но могут вырастать и до 800 г. Форма плодов плоскоокруглая, круглая, сердцевидная. Цвет плодов ярко-малиново-розовый. Великолепный, красивейший сорт. Томат салатного типа.</t>
  </si>
  <si>
    <t>2000251610018</t>
  </si>
  <si>
    <t>Томат Минусинский с Носиком 5 шт. (Гр) 299652631</t>
  </si>
  <si>
    <t>Высокорослый среднеспелый сорт, который созревает за 110–120 дней. Он высокоурожайный и требует подвязки к опоре и пасынкования. Кусты могут достигать высоты до 2 м к концу сезона. Плоды имеют удлинённо-сердцевидную форму с небольшим носиком и весят примерно 300–500 г. В стадии зрелости они приобретают малиново-розовый цвет. Вкус у томатов насыщенный, помидорный, со сладостью. Мякоть плодов плотная, практически без семян. Эти помидоры отлично подходят для использования в кулинарии. Они вкусны в свежем виде и прекрасно подходят для приготовления соусов, пюре и соков.</t>
  </si>
  <si>
    <t>2000232070015</t>
  </si>
  <si>
    <t>Томат Минусинский Сахарный 10шт. (Гр) 299617767</t>
  </si>
  <si>
    <t>Томат с великолепным сладким вкусом, практически без кислинки! Среднеспелый, индетерминантный сорт (до 160-180 см). Плоды плоскоокруглые, крупные, в стадии зрелости красного цвета, массой 300-500 г. Мякоть желейная, семян немного. Рекомендуем выращивать в один-два стебля с обязательным пасынкованием и подвязыванием. Помидоры отлично подходят для употребления в свежем виде, приготовления сока и соусов.</t>
  </si>
  <si>
    <t>2000232420018</t>
  </si>
  <si>
    <t>Томат Минусинское Манго 10шт. (Гр) 273284234</t>
  </si>
  <si>
    <t>Настоящий экзотический фрукт, массой от 200 до 450 г. Это среднеспелый индетерминантный (высота куста 1,8-2 м) сорт. Куст не агрессивный, листья простые, слегка поникшие. Плоды плоскоокруглые, оранжево-жёлтые с золотистыми лучиками от вершинки, превосходного медового вкуса, сочные, сладкие. Мякоть маслянистая, нежная, семян мало. Этот томат ценится за высокую урожайность и отличные вкусовые качества. Из плодов этого сорта получаются вкусные соки, пюре и пасты.</t>
  </si>
  <si>
    <t>2000230060018</t>
  </si>
  <si>
    <t>Томат Минусинское Сердце Биколор 10шт. (Гр)  273284720</t>
  </si>
  <si>
    <t>Среднеспелый крупноплодный сорт окраски биколор. Ценится за оригинальные плоды округло-сердцевидной формы золотого цвета с розовыми штрихами. Вкус сочной мякоти гармонично сочетает медовую сладость и сахаристость лучших розовых и желтоплодных сортов. Рекомендуется для выращивания в защищенном и открытом грунте в коловой культуре. Характеризуется отличной завязываемостью и высокой урожайностью. Растение высотой до 2,5 м, слабооблиственное. Формирует обильные плодоносные кисти с 4-6 крупными плодами массой 250-600 г каждый. Мякоть двуцветная, малосемянная, сладкая, сахарная на изломе. Урожайность до 6 кг с растения.</t>
  </si>
  <si>
    <t>2000227010019</t>
  </si>
  <si>
    <t>Томат Минусинское Чудо из Подсинее 10 шт. (Гр) 203570918</t>
  </si>
  <si>
    <t>Высокоурожайный, среднеспелый, индетерминантный сорт. Растение высотой до 2 м, первое соцветие завязывается над 7-8 листом, последующие через 3 листа. Кисти сложные, с 5-6 крупными плодами массой 200-300 г. Форма томатов, в зависимости от условий выращивания, варьируется от округло-кубовидной до вытянуто-перцевидной иногда с красивым носиком. Холодовынослив, засухоустойчив, идеально подходит для выращивания в неблагоприятных климатических условиях. Славится высокой урожайностью и сладостью вкуса. Плодоношение длится до заморозков.</t>
  </si>
  <si>
    <t>2000217630012</t>
  </si>
  <si>
    <t>Томат Могучий Карлик 20шт. (Гр) 274826814</t>
  </si>
  <si>
    <t>Отличный ранний урожайный сорт для открытого грунта и плёночных теплиц. Куст низкорослый, высотой 60-80 см, первая кисть формируется уже над 5-6 листом, последующие через два листа. Кисти способны завязывать большое количество томатов, массой 100-150 г. Плоды округлые, гладкие и плотные, красно-розового цвета, приятной сладости и лёгкой кислинкой. Не растрескиваются. Употребляются в свежем виде, салатах и консервации.</t>
  </si>
  <si>
    <t>4630009394860</t>
  </si>
  <si>
    <t>Томат Мохнатый Кейт Жёлтый 10 шт. (Гр)</t>
  </si>
  <si>
    <t>Детерминантный, среднеспелый, экзотический сорт с опушёнными голубыми листьями и стеблями. Плоды густо-фиолетовые у плодоножки, при полном созревании ярко-желтые с фиолетовым муаром. Повышенное содержание антоциана придаёт плодам эту тёмную окраску. Они не только очень красивы, но и полезны, благодаря присутствию мощного антиоксиданта! Плоды покрыты лёгким опушением, средней массой 60-80 гр. Редкий сорт! Вкус отличный.</t>
  </si>
  <si>
    <t>2000212360013</t>
  </si>
  <si>
    <t>Томат Мятежный Звездный Истребитель 10 шт. (Гр) 274830998</t>
  </si>
  <si>
    <t>Многократный победитель разнообразных выставок! Сорт среднеспелый, высокорослый. Высота куста может быть в теплице до 1,8 м. Плоды оригинальной формы - сердцевидные с носиком. Окраска помидоров необычная, полосатая, от тёмно-розовой до фиолетовой. Мякоть сочная, очень вкусная, розового цвета. Вес плодов 150-200 г (отдельные до 400 г).</t>
  </si>
  <si>
    <t>2000140770014</t>
  </si>
  <si>
    <t>Томат Новинка Консервации 50 шт. (Гр) 504459690</t>
  </si>
  <si>
    <t>Надежный сорт, отличающийся стабильной урожайностью, и высокими вкусовыми качествами как в свежем виде, так и при консервации. Среднеспелый сорт, начинает плодоносить через 95-105 дней от появления всходов. Куст детерминантный 50-70 см. Плоды среднего размера цилиндрической формы, удлиненные, с носиком. Масса одного плода достигает 80-100 грамм. Отличается плотными мякотью и кожицей, благодаря чему маринованные плоды сохраняют целостность и не трескаются. Даже в консервированном виде их можно разрезать на дольки. Томат идеален для всех видов консервации.</t>
  </si>
  <si>
    <t>2000212350014</t>
  </si>
  <si>
    <t>Томат Одинокое Сердце Сержанта Пеппера 10шт. (Гр) 299226880</t>
  </si>
  <si>
    <t>Отличный индетерминантный сорт для теплиц и открытого грунта на юге. Требует подвязки и пасынкования. Хорошо вяжет плоды на перепадах температур. Кисти сложные, по 8-10 плодов. Плодоносит с конца июля до заморозков, не теряет своих пищевых качеств при дозаривании и просто хранении. Плоды сердцевидные, массой 150-300 г, насыщенно-красные, с темно-фиолетовым пятном. Мякоть плотная, малиновая с ароматом и очень гармоничным сладким вкусом.</t>
  </si>
  <si>
    <t>2000140810017</t>
  </si>
  <si>
    <t>Томат Палка 8 шт. (Гр) 299196919</t>
  </si>
  <si>
    <t>Необычный, не имеющий аналогов сорт. Томат-инопланетянин. Представляет собой вертикальный стебель в форме колонны. Стеблей, как правило, не больше трех. Сорт полудетерминантный, высота до 1,2 м. Листьев ничтожно мало, к тому же они очень мелкие, жестко гофрированные, собраны в пучок. Соцветия простые, на них завязывается до 6 плодов. Всего помидоры Палка колонивидные формируют на каждом стебле до 5 кисточек. Плоды сорта округлые, отличаются упругостью, мясистой и плотной мякотью. Вкус традиционный томатный, с едва заметной кислинкой. Незрелые томаты светло-зеленые. В технической спелости становятся ярко-красными. Вес плодов с плотной кожицей 50-100 граммов. Урожай держится на кисти, не опадает, не растрескивается, даже если томаты переспеют. Чаще всего сорт Палка приберегают для консервирования, хотя в салатах помидоры тоже идеальные. Урожайность достаточно высокая, с одного куста можно снять до 1,5 кг помидоров. За счет плотного высаживания растений с 1 м2 опытным огородникам удается собрать до 30 кг.</t>
  </si>
  <si>
    <t>2000250220010</t>
  </si>
  <si>
    <t>Томат Палка Синяя 8 шт. (Гр) 299204378</t>
  </si>
  <si>
    <t>Новый сорт, выведенный в российском частном семеноводческом хозяйстве на основе американской «Палки», отличается от своего предшественника окраской плодов. В верхней части помидорок у него имеется тёмно-фиолетовый «загар», который при выращивании на ярком солнце становится почти чёрным. Этот полудетерминантный сорт (50-120 см) имеет колоновидную форму. Срок созревания плодов составляет 105-110 дней с момента появления всходов. Он формирует толстый, но хрупкий стебель, слегка опушенный и прямостоячий. От этого стебля отходят редкие вертикальные пасынки. Листья у этого сорта имеют гофрированную структуру, небольшой размер и расположены близко к стволу растения. Они скручены «розочкой» и имеют настолько короткий черешок, что кажутся прилепленными к побегам. Несмотря на свою небольшую площадь, листья не затеняют куст и придают растению экзотический вид. Плоды этого сорта имеют округлую форму и весят 30-40 г.</t>
  </si>
  <si>
    <t>2000151470019</t>
  </si>
  <si>
    <t>Томат Пасхальные Яйца 20 шт. (Гр)</t>
  </si>
  <si>
    <t>Необычная раскраска томатов, и изумительный вкус, как в свежем виде, так и при всех видах консервации. Спелые плоды - небольшого размера (до 50 г), обладают замечательным сильным ароматом и прекрасными вкусовыми качествами: в зрелых томатах достаточно сахара, присутствует легкая томатная кислинка. За интересную форму и расцветки эти томаты используют для украшения праздничного стола.</t>
  </si>
  <si>
    <t>2000235820013</t>
  </si>
  <si>
    <t>Томат Поцелуй Герани 5 шт. (Гр) 202933312</t>
  </si>
  <si>
    <t>Раннеспелый (срок созревания 90-100 дней), низкорослый (высота куста 40-50 см) сорт. Выращивается с большим успехом не только в теплицах или открытом грунте, но и в горшках! Плоды этого сорта обладают великолепной транспортабельностью. Масса помидорок до 40 г, в одной кисти может формироваться до 100 томатов! Плоды красного цвета, не образуют много семян, имеют яркий томатный вкус и они довольно сладкие. Отлично подойдут для всех видов заготовок.</t>
  </si>
  <si>
    <t>2000235810014</t>
  </si>
  <si>
    <t>Томат Ручей Фиолетовой Собаки 5 шт. (Гр)</t>
  </si>
  <si>
    <t>Высокорослый (150-170 см), высокоурожайный, среднеспелый сорт. Подходит для выращивания теплицах и открытом грунте. Плоды плоско-округлые, с лёгко выраженной ребристостью, гладкими плечами. Сбалансированный, фруктовый вкус плодов с чудесным послевкусием, ароматный. Вес плодов не редко бывает до 500 г и больше. Семян в плоде мало. Отлично подойдёт для приготовления изумительных соков с мякотью! Нуждается в подвязке к опоре и пасынковании. Формировать лучше в 2 стебля.</t>
  </si>
  <si>
    <t>2000253430010</t>
  </si>
  <si>
    <t>Томат Сержант Пеппер Бронзовый 5 шт. (Гр) 299123895</t>
  </si>
  <si>
    <t>Кирпично-красная версия известного сорта (расщепление). Срок созревания составляет 110-120 дней. Индетерминантный сорт, который в открытом грунте достигает высоты 1,5 м. Плоды формируются кистями по 5-6 штук. Помидоры имеют плоско-округлую форму и крупные размеры, в среднем от 200 до 300 г. Их окраска привлекает внимание: снаружи они оранжево-красно-бронзовые, с тёмным антоцианом на плечиках, а внутри - красная мякоть. Кожица плотная и гладкая. Мякоть сладкая и обладает насыщенным ароматом. Вкус сравнивают с карамелью, он отличается отличным балансом кислоты и сладости. Этот сорт можно выращивать как в теплице, так и в открытом грунте. В теплице урожайность будет заметно выше. Кожица помидоров не склонна к растрескиванию. Для успешного выращивания этому сорту необходимо много солнца, под его воздействием антоциан активно темнеет.</t>
  </si>
  <si>
    <t>2000138120012</t>
  </si>
  <si>
    <t>Томат Сказки Шахерезады 100 шт.  (Гр)</t>
  </si>
  <si>
    <t>Сказочный помидор для ленивых огородников. Сорт сверхранний, безрассадный, детерминантный. Не прихотлив в уходе. Эти стрессоустойчивые и тенеустойчивые томаты, выдерживают перепады температур, а также засушливые периоды. Плоды красного цвета, округлые, массой до 200 г, хороши как для свежих салатов, так и для консервации.</t>
  </si>
  <si>
    <t>2000232030019</t>
  </si>
  <si>
    <t>Томат Скифская Фея 10шт. (Гр) 198903751</t>
  </si>
  <si>
    <t>Индетерминантный, среднеспелый сорт. Плоды имеют оригинальную фактурную поверхность и гребневидную форму, каждый плод обязательно заканчивается милым загнутым носиком. Ярко-красные, среднесочные, с незначительными пустотами у отдельных плодов, кожица плотная, без трещин. Мякоть имеет хороший вкус, внутри плотная, достаточно сочная, с кисло-сладким освежающим вкусом. Плоды хорошо хранятся продолжительное время после сбора. Сорт урожайный, плодоношение растянутое. Средний вес томатов 150-200 г.</t>
  </si>
  <si>
    <t>2000232250011</t>
  </si>
  <si>
    <t>Томат Сливка Барри 10 шт. (Гр)</t>
  </si>
  <si>
    <t>Среднеранний (58-62 дня), детерминантный, сливовидный томат универсального типа с идеальной формой плода. Масса плода 110-140 г. Плоды красного цвета с отличным вкусом. Томат с высокой однородностью плодов, достаточно плотный. Растение хорошо облиственное, стабильное в любых условиях выращивания. Сорт предназначен для выращивания в открытом грунте.</t>
  </si>
  <si>
    <t>2000250670013</t>
  </si>
  <si>
    <t>Томат Сливка Гурман 10 шт. (Гр)</t>
  </si>
  <si>
    <t>Индетерминантный высокорослый сорт (1,8-2 м) для открытого грунта и плёночных теплиц. Сорт раннеспелый, хорошо завязывает плоды даже в стрессовых условиях. Неприхотлив, устойчив к перепадам температур и основным болезням томатов. Кусты нуждаются в подвязке к опоре. Рекомендуется формировать в 2-3 стебля. Плоды очень красивые: удлинённые сливки с острым носиком розового цвета с фиолетово-чёрным напылением. Чем больше солнца получает растение, тем больше антоциана содержится в плодах. Вес помидорок составляет около 50-80 г. Сливки плотные, долго висят на кусте, не осыпаясь. Хорошо хранятся и не портятся. Вкус сладкий, сочный, очень приятный. Назначение универсальное. Плодоносит до самых заморозков.</t>
  </si>
  <si>
    <t>2000228010018</t>
  </si>
  <si>
    <t>Томат Сумасшедшие Черри Барри (Barry’s Crazy Cherry) 15 шт. (Гр) 552754624</t>
  </si>
  <si>
    <t>Среднеранний сорт от знаменитого американского селекционера Бреда Гейтса. Получил мировую известность под названием Barry’s Crazy Cherry. Рекомендуется для открытого и защищенного грунта. Растения индетерминантные, в теплице высотой около 2 м, выглядят потрясающе и очень урожайные. Кисти, словно гроздья винограда, объемные и красивые, с огромным количеством ароматных и сладких черри, массой 20-25 г. Сорт отлично подходит для употребления в свежем виде, украшения блюд и цельноплодного консервирования, особенно красиво выглядит в сочетании с другими разноцветными черри. Урожайность в теплице – 8-10 кг/м.кв.</t>
  </si>
  <si>
    <t>2000259230010</t>
  </si>
  <si>
    <t>Томат Турецкий Розовый крупноплодный 20 шт. (Гр) 493387386</t>
  </si>
  <si>
    <t>Выращивайте настоящие турецкие биф-томаты с непревзойденным вкусом! Детерминантный сорт с мощными растениями высотой до 1 м, который славится высокой урожайностью и устойчивостью к неблагоприятным условиям. Крупные плоды массой 200-400 г имеют насыщенно-розовый цвет, плотную и ароматную мякоть с выраженной сладостью. Отличный выбор для свежего употребления, салатов, домашних заготовок и переработки. Великолепный вкус и презентабельный внешний вид этих томатов сделают их любимыми среди садоводов и гурманов!</t>
  </si>
  <si>
    <t>2000151490017</t>
  </si>
  <si>
    <t>Томат Турецкий Сверхранний F1 10 шт. (Гр) 275878333</t>
  </si>
  <si>
    <t>Главным достоинством этого томата является его суперскороспелость. Пожалуй это самый ранний томат (50-52 дня). При таких ранних сроках плоды, тем не менее, получаются стандартного размера, массой 100-150 гр. Для такого раннего срока – это подлинный прорыв в селекции. Может для фермеров этот томат и не очень интересен, из за того, что он низкорослый, но для любителей – это просто чудо! Когда у соседей томаты ещё зелёные, обладатели этого сорта уже вовсю лакомятся вкусными помидорчиками.</t>
  </si>
  <si>
    <t>2000156010012</t>
  </si>
  <si>
    <t>Томат Турецкий Сливовидный F1 12 шт. (Гр) 275844062</t>
  </si>
  <si>
    <t>Этот томат нового поколения порадует вас ураганным плодоношением и отличным вкусом плодов, как в свежем виде, так и при всех видах консервации. Сорт является низкорослым и не нуждается в подвязке и пасынковании. Несмотря на свою низкорослость он обеспечит огородникам ранний и обильный урожай. В фазе созревания помидоры имеют красный цвет. Вкусовые качества отличные. Применение плодов самое разнообразное — это употребление в свежем виде и цельноплодное консервирование, так как плоды имеют небольшие размеры и сливоподобную овальную форму без изъянов. Томаты весят 100-120 г. Средняя урожайность составляет примерно 27 т/га. Сорт подходит для выращивания в открытом грунте.</t>
  </si>
  <si>
    <t>2000152420013</t>
  </si>
  <si>
    <t>Томат Турецкий Стелющийся F1 10 шт. (Гр) 274843918</t>
  </si>
  <si>
    <t>Этот удивительный ультраскороспелый томат напоминает собой знаменитый Монгольский карлик, но превосходит последний по вкусовым качествам. Куст низкорослый, мощный. Обилие плодов поражает. Средний вес томатов 150-200 г, но при надлежащем уходе могут достигать 300 г. Крупные плоды порадуют вас прекрасным вкусом в салатах, плоды поменьше используют для различных видов консервации.</t>
  </si>
  <si>
    <t>2000138080019</t>
  </si>
  <si>
    <t>Томат Ультраранний Малыш 100 шт. (Гр) 845261762</t>
  </si>
  <si>
    <t>Сорт суперранний, детерминантный, 25-35 см высотой. Прекрасно подходит для безрассадного выращивания. Растение не требует пасынкования и подвязки, что значительно упрощает уход за ним. Плоды красные, плоскоокруглые, слаборебристые, очень вкусные. Масса плодов 100-120 г. Вкусовые качества томатов отличные, подходят для употребления в свежем виде и для всех видов консервирования. Плоды обладают хорошими товарными качествами, долго хранятся и хорошо транспортируются. Эти томаты устойчивы к неблагоприятным погодным условиям, что дает возможность высаживать их немного раньше других и собирать ранний урожай.</t>
  </si>
  <si>
    <t>2000235800015</t>
  </si>
  <si>
    <t>Томат Фиолетовая Гордость Весселя 10 шт. (Гр)  273954927</t>
  </si>
  <si>
    <t>Великолепно подходят для употребления в свежем виде и приготовления блюд и соков, так как практически не имеют семян. Среднеспелый (срок созревания 110-120 дней), высокорослый (высота куста 150-200 см) сорт. Плоды по форме удлинённые, с заостренным носиком. Средние плоды весят по 120-250 г, а крупные томаты по 300 г, в диаметре достигают 12 см. Окраска при созревании зелёного оттенка, далее она приобретает фиолетовый окрас с пурпурными оттенками. Окраска может быть розово-фиолетовой или пурпурно-коричнево-фиолетовой. У них плотная кожица и сочная мякоть. Вкус у томатов насыщенный, сладкий, немного с кислинкой и с нежным фруктовым ароматом.</t>
  </si>
  <si>
    <t>2000166460012</t>
  </si>
  <si>
    <t>Томат Фляшен (Flaschentomaten) 10 шт. (Гр)</t>
  </si>
  <si>
    <t>Сверхвысокая, рекордная урожайность! Среднеспелый (110-120 дней), индетерминантный, высокоурожайный, кистевой сорт для теплиц и открытого грунта. С одного растения можно получить до 6-7 кг помидоров и даже более. Плоды небольшие, средней массы 40-80 г. Вкус сбалансированный, сладкий, без кислинки. Мякоть плотная, сочная, семян мало. Кожица не толстая, глянцевая, при цельноплодном консервировании плоды не трескаются. Томаты данного сорта очень хорошо хранятся, дозревают в помещении и выносят любую транспортировку. Если снять последние кисти в теплице в начале октября, то вполне возможно лакомится плодами до нового года. Растение отличается длительным плодоношением, вплоть до заморозков. Сорт устойчив к фитофторозу и сравнительно неприхотлив в выращивании.</t>
  </si>
  <si>
    <t>2000265380013</t>
  </si>
  <si>
    <t>Томат Фляшен коричневый 10 шт. (Гр)</t>
  </si>
  <si>
    <t>Один из главных плюсов этих помидоров – насыщенный бордово-коричневый цвет. Вес плодов варьируется от 30 до 80 г, а их вкус отличается сладостью и насыщенностью. В консервированном виде они отлично сохраняют форму благодаря плотной мякоти и прочной кожице. Их часто выбирают из банки первыми, так как они невероятно вкусные. Помидоры хорошо хранятся и дозариваются, не портясь при перезревании, а лишь слегка подвяливаясь. Это среднеспелый сорт, созревающий за 110-120 дней. Кусты индетерминантные, могут достигать высоты до 2 м, поэтому их обязательно нужно подвязывать к опоре. Растения рослые, с умеренной облиственностью и крепкими ветвями, что позволяет плодам получать достаточно солнечного света. Листья крупные, ярко-зелёные. На одной кисти может формироваться от 5-7 и более плодов, которые гроздьями свисают с куста, создавая эффект гирлянды. В одной такой гирлянде может созревать до нескольких десятков помидоров одновременно. Сорт высокоурожайный и устойчивый к болезням.</t>
  </si>
  <si>
    <t>2000232470013</t>
  </si>
  <si>
    <t>Томат Фляшен оранжевый 10 шт. (Гр)</t>
  </si>
  <si>
    <t>Индетерминантный, высокорослый (куст высотой до 2 м), среднеспелый. Плоды оранжевые сливки с маленькой пимпочкой, массой 80-90 г, плотные, мясистые и вкусные. Растут кистями по 6-8 штук. Урожайность конечно не такая как у Фляшен с красными плодами, но тоже довольно приличная. Плоды не растрескиваются, не осыпаются. Для теплицы и открытого грунта. Формировать лучше в 2-3 стебля.</t>
  </si>
  <si>
    <t>2000228000019</t>
  </si>
  <si>
    <t>Томат Черное Сердце Брэда 10 шт. (Гр) 275899608</t>
  </si>
  <si>
    <t>Среднеспелый (100-110 дней) экзотический крупноплодный сорт. Растение индетерминантное высотой до 1,8 м, среднеоблиственное, полукомпактное. Мякоть темно-красная, по структуре мясистая, сочная, сладкая. Форма томатов нестабильна. Иногда они похожи на закругленное снизу яблоко, иногда - на сердце с «носиком». Помидоры завязываются кистями по 6-8 шт. массой 300-600 г, цвет бордово-фиолетовый. Вкус томатов сладкий, с фруктовым послевкусием. Аромат насыщенный томатный. Плоды используются в свежем виде, а также для изготовления соусов, паст, аджики.</t>
  </si>
  <si>
    <t>2000125030010</t>
  </si>
  <si>
    <t>Томат Черный Чикаго 10 шт. (Гр) 552765175</t>
  </si>
  <si>
    <t>Кусты просто усыпаны этими полосато-коричневыми помидорками! Устойчивы к заболеваниям. Среднего срока созревания. Для открытого грунта и теплиц. Плодоносят до поздней осени. Высота куста 80-115 см. Плоды вкусные, сладкие, весом до 100 г, хороши для консервирования. Мякоть имеет такой же тёмный цвет (бордовый с некоторым просветлением). Плоды мясистые, сахаристые, с высоким содержанием сухих веществ. Данный томат безусловно станет украшением любого стола.</t>
  </si>
  <si>
    <t>2000230140017</t>
  </si>
  <si>
    <t>Томат черри Cherfield 5 шт. (Гр) 273776309</t>
  </si>
  <si>
    <t>Раннеспелый, детерминантный томат-черри для открытого грунта и плёночных теплиц. От высадки рассады до начала созревания 52-56 дней. Растение хорошо облиственное, компактное с хорошо развитой корневой системой. Томат хорошо сопротивляется стрессовым факторам (переувлажнение, засуха, понижение температуры и тд). Плоды ярко-красные, красивой округлой формы, гладкие, с глянцем, прочные (устойчивы к растрескиванию), массой 20-30 г. Вкусовые качества очень высокие. Томат пригоден для сбора кистями. Рекомендуется для цельноплодного консервирования, сушки и другой переработки. Устойчивость VF2.</t>
  </si>
  <si>
    <t>2000215130019</t>
  </si>
  <si>
    <t>Томат черри Джаджу (Yellow Piennolo del Ves) 5 шт. (Гр) 273789299</t>
  </si>
  <si>
    <t>Отлично подходит для вяления! Жёлтая разновидность томата Piennolo del Vesuvio. Среднеспелый, высокорослый (до 180 см), формировка в 2-3 стебля. Плод жёлтый, сплюснутый и удлиненный, с острым носиком, массой 40-60 г, собраны в кисти. Плоды имеют толстую кожу, очень сладкий вкус при полном созревании, долго хранятся без потери качества и аромата. Для хранения снимают кисти, когда 70 % плодов созрели. Затем грозди связывают бечевкой в большие пучки (около 2-3 кг) и развешивают в защищенных от холода, но проветриваемых помещениях, где они медленно дозревают. В таком виде томаты могут оставаться свежими до 7-8 месяцев. Этот сорт плодоносит до заморозков, довольно устойчив к фитофторе, прекрасно завязывается в жару. Для лучшего хранения следует ограничить полив. Вкус классический, ароматный. Во время хранения только усиливается, становится ярче. Малое содержание сока и семян делает его пригодным для термообработки. Вяленые томаты обладают прекрасным вкусом. Их можно замораживать, консервировать.</t>
  </si>
  <si>
    <t>2000264310011</t>
  </si>
  <si>
    <t>Томат черри Красные с носиком 10 шт. (Гр) 532587135</t>
  </si>
  <si>
    <t>Томат с высокой урожайностью, сладким вкусом и красивым внешним видом плодов. Данный сорт отличается ранним созреванием - всего 85-90 дней. На одном квадратном метре рекомендуется высаживать 5-6 растений. Для лучшего результата формируйте куст в 2-3 стебля. Каждая кисть приносит 12-14 плодов массой 10-20 граммов. Ярко-красные, овальные томаты с заостренным кончиком выглядят аппетитно. Регулярный полив и подкормки помогут полностью раскрыть потенциал сорта. Урожайность достигает 3 килограммов с куста. Плоды, собранные в конце лета, легко доспевают в темном месте и хорошо хранятся. Эти томаты отлично подойдут для украшения блюд, салатов, заморозки, вяления и цельноплодного консервирования. Сорт подходит для выращивания в открытом грунте и в теплице.</t>
  </si>
  <si>
    <t>2000215120010</t>
  </si>
  <si>
    <t>Томат черри Пьенноло Дель Везувио (Piennolo del Vesuvio) 5 шт.(Гр) 273785559</t>
  </si>
  <si>
    <t>Среднеспелый, высокорослый до 180 см, формировка в 2-3 стебля. Картофельный лист. Плод красный, сплюснутый и удлиненный, с острым носиком, массой 40-60 г, собраны в кисти. Плоды имеют толстую кожу, очень сладкий вкус при полном созревании. Для хранения снимают кисти, когда 70% плодов созрели и подвешивают в проветриваемом прохладном помещении. Этот сорт плодоносит до заморозков, довольно устойчив к фитофторе, прекрасно завязывается в жару. Для лучшего хранения следует ограничить полив. Вкус классический, ароматный.</t>
  </si>
  <si>
    <t>2000264300012</t>
  </si>
  <si>
    <t>Томат черри Черные длинные 10 шт. (Гр) 532581602</t>
  </si>
  <si>
    <t>Этот индетерминантный сорт тёмных томатов созревает за 95–100 дней. Растение мощное, с густой листвой. Первая кисть появляется над седьмым листом, а в каждой кисти завязывается 12–16 плодов весом 10–20 г. Томаты тёмно-шоколадного цвета напоминают тёмную сливку. Кусты усыпаны гроздьями, которые легко наклоняются, поэтому нужна подвязка. Своевременное удаление пасынков ускоряет сбор урожая. Это одни из самых сладких и вкусных томатов. Их тёмная окраска обусловлена высоким содержанием антоциана — вещества, которое борется со свободными радикалами, укрепляет иммунитет и сосуды. Сорт неприхотлив и плодоносит долго, гарантируя высокий урожай.</t>
  </si>
  <si>
    <t>2000246540016</t>
  </si>
  <si>
    <t>Фасоль Инь-Янь спаржевая 10 г (Гр) 404420812</t>
  </si>
  <si>
    <t>Эта стильная зерновая фасоль - настоящее украшение стола! Её черно-белый рисунок напоминает известный символ соединения мужской и женской энергий инь-янь. Растение компактное, высотой до 45 см. Бобы достигают длины до 15 см и содержат большое количество зёрен. Они идеально подходят для приготовления необычных гарниров, а также для сушки и зимних заготовок. Урожайность стручков и зёрен впечатляет - до 5 кг/м². А ещё эта фасоль радует длительным плодоношением в течение всего лета. Этот сорт фасоли отличается богатым витаминно-минеральным составом, который включает аминокислоты и витамины группы B. Кроме того, фасоль содержит много клетчатки, что делает её полезной для людей, страдающих ожирением. Также в фасоли много железа, которое улучшает состояние при анемии.</t>
  </si>
  <si>
    <t>2000230570012</t>
  </si>
  <si>
    <t>Хрен Ядрёная Штучка 0,3г (Гр)</t>
  </si>
  <si>
    <t>Мякоть белая, ароматная, достаточно острая. Двух-трёхлетняя культура. Корни богаты по химическому составу и вкусовым качествам, а также более технологичны при переработке (корешок не ветвится). Розетка листьев полуприподнятая, хорошо облиственная. Листовая пластинка сизо-зелёная обратно-яйцевидной формы перисторассеченная с гладкой поверхностью. Корнеплод конический длиной 40 см, диаметром 4 см. Масса корнеплода до 900 г! Окраска коры корнеплода серо-коричневая.</t>
  </si>
  <si>
    <t>2000223650011</t>
  </si>
  <si>
    <t>Ц Адениум KALEIDOSCOPE 3 шт. (Гр)  278058691</t>
  </si>
  <si>
    <t>Адениум тучный относится к долгожителям. У нас выращивается как комнатное растение, поэтому высота его редко превышает 0,7 м, а ствол, благодаря формированию, может принимать удивительный вид.  Цветоводы могут сращивать вместе несколько стволов, заплетать отростки в косы или обрезать, получая фантастические конструкции. Цветет Адениум в основном с весны по осень, а при соблюдении оптимальных условий выращивания может цвести почти круглогодично.</t>
  </si>
  <si>
    <t>2000181240019</t>
  </si>
  <si>
    <t>Ц Адениум PurpleKing DESERT ROSE 3 шт (Гр) 278057741</t>
  </si>
  <si>
    <t>Адениум тучный относится к долгожителям. У нас выращивается как комнатное растение, поэтому высота его редко превышает 0,7 м, а ствол, благодаря формированию, может принимать удивительный вид.  Цветоводы могут сращивать вместе несколько стволов, заплетать отростки в косы или обрезать, получая фантастические конструкции. Цветет Адениум в основном с весны по осень, а при соблюдении оптимальных условий выращивания может цвести почти круглогодично.</t>
  </si>
  <si>
    <t>2000173520013</t>
  </si>
  <si>
    <t>Ц Адениум Siam Blueberries 3шт. (Гр) 278059984</t>
  </si>
  <si>
    <t>Адениум тучный относится к долгожителям. У нас выращивается как комнатное растение, поэтому высота его редко превышает 0,7 м, а ствол, благодаря формированию, может принимать удивительный вид. Цветоводы могут сращивать вместе несколько стволов, заплетать отростки в косы или обрезать, получая фантастические конструкции. Цветет Адениум в основном с весны по осень, а при соблюдении оптимальных условий выращивания может цвести почти круглогодично.</t>
  </si>
  <si>
    <t>2000173510014</t>
  </si>
  <si>
    <t>Ц Адениум Все Звёзды  3шт. (Гр) 193523628</t>
  </si>
  <si>
    <t>Адениум тучный относится к долгожителям. У нас выращивается как комнатное растение, поэтому высота его редко превышает 0,7 м, а ствол, благодаря формированию, может принимать удивительный вид. Цветет Адениум в основном с весны по осень. При соблюдении оптимальных условий выращивания может цвести круглогодично.</t>
  </si>
  <si>
    <t>2000182320017</t>
  </si>
  <si>
    <t>Ц Адениум Гвоздики 3 шт. (Гр) 278062087</t>
  </si>
  <si>
    <t>2000126360017</t>
  </si>
  <si>
    <t>Ц Адениум Красна Девица 3 шт. (Гр) 278063047</t>
  </si>
  <si>
    <t>Восхитительный цветок насыщенно красного цвета. Адениум обесум относится к долгожителям. У нас выращивается как комнатное. Фантастический по красоте цветок. Цветет Адениум в основном с весны по осень. При соблюдении оптимальных условий выращивания может цвести почти круглогодично. Существуют экземпляры, возраст которых насчитывается более 75 лет.</t>
  </si>
  <si>
    <t>2000257710019</t>
  </si>
  <si>
    <t>Ц Аспарагус Фьюззифёрн Фриз (FuzzyFern Frizz) 3 шт. (Гр)</t>
  </si>
  <si>
    <t>Откройте для себя новую жемчужину сезона 2024 – Аспарагус Фьюзиферн Фриз от компании PanAmerican Seed! Этот уникальный сорт не только отвечает растущему интересу профессионалов в области семян, но и радует замечательной всхожестью, позволяя экономить средства и время. С высотой и диаметром 60-90 см, он формирует изумительные кусты с множеством мельчающих побегов и игольчатой листвой, обладающей восхитительной текстурой. Аспарагус Фьюзиферн Фриз станет изысканным акцентом для ваших контейнеров, подвесных корзин и интерьерных композиций, идеально адаптируясь как к солнечным, так и тенистым уголкам, что делает его превосходным выбором для выращивания как в домашних условиях, так и на открытом воздухе.</t>
  </si>
  <si>
    <t>2000250320017</t>
  </si>
  <si>
    <t>Ц Астрофитум Смесь видов 5 шт. (Гр) 333540437</t>
  </si>
  <si>
    <t>Род растений семейства Кактусовые, насчитывающий около 10 видов. Растёт в предгорьях и горах на каменистых и известковых почвах. Название рода происходит от греческих слов «aster» - звезда и «phytum» - растение. Это связано с тем, что, если смотреть на астрофитумы сверху, они имеют форму правильной звезды. Отличительные особенности этого кактуса от других видов - светлые войлочные крапинки на стебле, которые могут поглощать влагу, и наличие у некоторых видов изогнутых колючек. Суккулент не требует сложного ухода, растёт медленно, но зацветает очень рано. При правильном уходе цветение длится продолжительное время, с весны до поздней осени. Цветки крупные, жёлтые, иногда с красным оттенком на верхушке стебля.</t>
  </si>
  <si>
    <t>2000225090013</t>
  </si>
  <si>
    <t>Ц Бархатцы Antigua Gold F1 5 шт. (Гр)</t>
  </si>
  <si>
    <t>Бархатцы серии ANTIGUA – ЛИДЕР среди производственных гибридов прямостоячих бархатцев! Отличаются высокой выравненностью габитуса и возможностью выращивания при плотных посевах. Очень крупные (до 15 см), густомахровые цветки насыщенного цвета, будут являться основой любого яркого цветника, бордюра или клумбы. Растение образует компактный кустик, высотой до 25 см, имеющий по одному цветоносу в рассаде и по 4-5 в открытом грунте. Предпочитает солнечные места. Прекрасно сочетается с любыми цветами и будет отлично смотреться в садовых контейнерах или вазонах. Устойчиво к непогоде.</t>
  </si>
  <si>
    <t>2000215210018</t>
  </si>
  <si>
    <t>Ц Бархатцы Antigua Orange F1 5 шт. (Гр)</t>
  </si>
  <si>
    <t>2000225100019</t>
  </si>
  <si>
    <t>Ц Бархатцы Antigua Yellow F1 5 шт. (Гр)</t>
  </si>
  <si>
    <t>2000192020013</t>
  </si>
  <si>
    <t>Ц Гаультерия Merry Berry Big Red лежачая 5шт. (Гр)</t>
  </si>
  <si>
    <t>Merry Berry - это совершенно новая серия Gaultheria от Benary. Растения округлой формы со множеством привлекательных красных крупных ягод. Идеально подходит для домашнего и уличного выращивания. Высота растения относительно небольшая (максимум 15 см). Для него характерно сохранение зеленой окраски круглый год. Длина листа может составлять от 2 до 5 см, а ширина - всего 1-2 см. Все части растения приятно пахнут, а его листья могут использоваться для приготовления лечебных чаев. Лежачая гаультерия классифицируется как растение 4 категории зимостойкости. Поэтому её можно смело выращивать в Московской области и соседних регионах. Культура может перенести зимние холода до -30-35°С. При низкой температуре листья приобретают характерный багрянец.</t>
  </si>
  <si>
    <t>2000223490013</t>
  </si>
  <si>
    <t>Ц Гейхера Bressingham Hybrids кроваво-красная 0,02г (Гр) 404412040</t>
  </si>
  <si>
    <t>Популярный декоративный многолетник. Сорт отличается своим прекрасным видом и ярко-розовой окраской цветков. Растение имеет крупные размеры и высокий рост, что делает её идеальной для использования в групповых посадках, рабатках и каменистых садиках. Представляет собой крупный куст со стеблями высотой до 60 см. Листья этого растения очень красивые, они большие, плотные и имеют разнообразную окраску - от белоснежной до тёмно-малиновой. Цветки являются настоящим украшением этого растения, они ярко-розовые и создают неповторимый эффект в любом саду. Очень устойчива к зимним морозам и не требует особого укрытия. Период цветения начинается в июне и продолжается до августа.</t>
  </si>
  <si>
    <t>2000227890017</t>
  </si>
  <si>
    <t>Ц Гейхера Marvelous Marble Silver F1 5шт (Гр) 404413364</t>
  </si>
  <si>
    <t>Многолетнее растение с декоративными листьями. Формирует розетку очень красивых листьев с уникальной окраской – на зеленом фоне затейливая сеть бордовых прожилок. Яркой особенностью является появление серебряного муара на листьях в зависимости от освещения. Декоративная окраска листьев становится ярче при осенних понижениях температуры. Растение неприхотливое и холодостойкое.</t>
  </si>
  <si>
    <t>2000176510011</t>
  </si>
  <si>
    <t>Ц Гейхера Palace Purple 10 шт (Гр) 404410874</t>
  </si>
  <si>
    <t>Гейхера - эффектное многолетнее декоративное растение высотой до 50 см. Данная гейхера имеет фактурную, крупную, широкую листву. Листики красиво разрезаны и обладают пурпурным окрасом с небольшим металлическим оттенком. Цветочки небольшие, кремового цвета собраны в редкую, свечевидную форму и возвышаются над листвой. Редко подвергается болезням. Теневыносливое растение, выдерживает заморозки до -34 0С. Красиво смотрится в качестве живого бордюра или в смешенных цветочных композициях.</t>
  </si>
  <si>
    <t>2000192000015</t>
  </si>
  <si>
    <t>Ц Герань Vision Pink Apex садовая 3шт. (Гр) 284642521</t>
  </si>
  <si>
    <t>Многолетнее, теневыносливое, морозоустойчивое, красивоцветущее растение, используемое в ландшафтном дизайне при оформлении бордюров, альпийских горок и рокариев. Хорошо смотрится как в одиночных, так и групповых посадках. Куст этого вида герани очень красив. Он высок и имеет редкую для герани сферическую форму, в высоту достигает 60 см. Форма куста шаровидная — в ширину он может достигать почти полметра. Цветет садовая герань долго и обильно, с середины июня до августа. Способна обильно цвести и плодоносить без пересадки и деления до 15 лет. Цветы подходят для срезки и могут использоваться при создании флористических композиций.</t>
  </si>
  <si>
    <t>2000124600016</t>
  </si>
  <si>
    <t>Ц Гибискус Изменчивый 10 шт. (Гр) 284680717</t>
  </si>
  <si>
    <t>Эффектное вечнозелёное или полулистопадное красивоцветущее растение, обладающее способностью менять цвет бутонов в период цветения. В северных районах выращивается комнатное растение. Соцветия крупные до 16 см в диаметре сначала белые потом розовые, махровые или простые цветки. Гибискус теневынослив, но при недостатке света хуже развивается и мало цветет. На светлом месте уже в марте у растения начинают появляться первые бутоны, а сменяющие друг друга цветы украшают крону листьев до глубокой осени.</t>
  </si>
  <si>
    <t>2000158360016</t>
  </si>
  <si>
    <t>Ц Гибискус Сирийский 7 шт. (Гр) 284784970</t>
  </si>
  <si>
    <t>Многолетний красивоцветущий кустарник, среднего размера 1,5-2 м высотой и 1-1,5 м шириной. Он обладает прекрасной листвой, которая имеет тёмно-зелёный цвет и глянцевую поверхность. Листья имеют форму сердца и рассыпаются на длинных черешках. Главным достоинством растения считается его крупные цветы, диаметром до 12 см, с обильными бутонами, которые длительно цветут и украшают сад своей яркой красотой. Цветет кустарник с конца июня до конца сентября. Может пережить кратковременное понижение температуры до -20 без укрытия.</t>
  </si>
  <si>
    <t>2000194870012</t>
  </si>
  <si>
    <t>Ц Гибискус Травянистый (болотный) Красный 5 шт. (Гр) 284718019</t>
  </si>
  <si>
    <t>Травянистый гибискус красный, известный также под названием «болотный гибискус», представляет собой разветвленный куст, который в благоприятных условиях за лето может достичь высоты около двух метров. Это неприхотливое многолетнее кустовое растение, принадлежащее к семейству Мальвовых, с очень красивыми крупными красными цветами (диаметр 15-25 см и более). Надземная часть зимой отмирает, но корневая система с легкостью переносит морозы, давая новые побеги весной.</t>
  </si>
  <si>
    <t>2000229780019</t>
  </si>
  <si>
    <t>Ц Глициния Китайская 3шт. (Гр) 281309517</t>
  </si>
  <si>
    <t>Кустарники, деревья декоративные</t>
  </si>
  <si>
    <t>Многолетняя, древовидная лиана, достигающая высоты 15 м. Цветки голубовато-фиолетовые диаметром около 2,5 см, со слабым запахом, собраны в довольно густые, висячие кисти длиной 15-30 см. Зацветает весной до появления листьев. Сохраняет отдельные цветущие кисти в течение всего лета. Плод представляет собой густо-опушенный боб длиной до 15 см. Хорошо переносит условия города и кратковременные похолодания до –20°С. Широко используется в вертикальном озеленении в южных областях. Светолюбива. Данная культура, выращивается не только на открытом грунте, но также в условиях квартиры – в этом случае из длинной лианы формируется миниатюрный бонсай.</t>
  </si>
  <si>
    <t>2000162650011</t>
  </si>
  <si>
    <t>Ц Дзельква японская Пильчатая 10 шт. (Гр) 216075610</t>
  </si>
  <si>
    <t>В природе обитает в основном в Японии. Дерево с опадающими зимой, заостренными на верхушке, зубчатыми по краю, зелёными летом и оранжевыми осенью, листьями. От ствола отходят мощные длинные ветви со множеством прямостоячих густоветвистых побегов. Крона овальная. Растение принадлежит семейству Вязовые. В природе может достигать в высоту 30 метров. При формировке можно без проблем добиться практически любого роста, поэтому растение идеально подходит для бонсай- как уличного так и комнатного. Каждый может стать художником, и вырастить своё неповторимое деревце. Растение выдерживает понижения температуры до -15⁰С без повреждений.</t>
  </si>
  <si>
    <t>2000233210014</t>
  </si>
  <si>
    <t>Ц Дихондра Emerald Falls Green F1 3 шт. (Гр) 210436090</t>
  </si>
  <si>
    <t>Травянистое, ампельное и почвопокровное растение, стебли которого достигают 1,5 м в длину. Листья на лианах небольшие, круглой формы, слегка опушённые, насыщенно-зелёного изумрудного окраса. Создают плотную шапку зелени в тех местах, где произрастают. Цветы растения очень маленькие, желтоватого окраса. На общем фоне растения они малозаметны, так как едва достигают 3 мм. Чаще всего его выращивают в подвесных кашпо. Украшают стены, балконы, арки, террасы, беседки и другие объекты. Если посадить растение в открытый грунт, то оно будет красиво стелиться по земле, образует сплошной ковер и станет прекрасным фоном для ярких цветов.</t>
  </si>
  <si>
    <t>2000225200016</t>
  </si>
  <si>
    <t>Ц Дихондра Silver Falls F1 3 шт. (Гр) 192655300</t>
  </si>
  <si>
    <t>Многолетнее, декоративное, ампельное растение изумительной красоты. Листва этой дихондры серебристая и очень декоративная, напоминающая монетки. Длинные побеги (до 180 см) ниспадают из подвесных горшков сплошным потоком! Водопад зелени действительно впечатляющий! Растение прекрасно переносит засуху. При желании Вы всегда можете украсить дихондрой и садовые посадки. Например, её можно использовать в качестве почвопокровного растения, растения для альпинария, или рокария. Этот сорт в садовых композициях может выгодно оттенить растения с яркими цветками. Хорошо сочетается с петуниями, вербеной, лобелией, бальзамином. Побеги дихондры "Серебристый водопад" могут создать иллюзию бегущей воды, если высадить растение в форме ручейка.</t>
  </si>
  <si>
    <t>2000242380012</t>
  </si>
  <si>
    <t>Ц Дихондра Серебряный Сёрфер (Silver Surfer) F1 3 шт. (Гр)</t>
  </si>
  <si>
    <t>Сорт имеет мелкую серебристую листву, которая станет прекрасным фоном для ярких цветов, особенно красных, создавая неповторимую игру оттенков! Растение также прекрасно само по себе, создавая эффект падающей воды. Его плети могут вырастать до 150 см, но лучше всё же периодически их подрезать, чтобы растение было более густым. Сорт отличается быстрым ростом за счёт хорошего корнеобразования. Растение засухоустойчиво и переносит небольшие заморозки. При затяжных дождях в густой посадке может начать подгнивать, в этом случае просто удалите плохие побеги. Применяется для выращивания в подвесных кашпо, вазонах, подпорных стенках, а также как почвопокровное растение. Это многолетнее травянистое растение, но в нашем регионе выращивается как однолетняя культура, для многолетнего цветения, дихондру на зиму забирают в помещение.</t>
  </si>
  <si>
    <t>2000194880011</t>
  </si>
  <si>
    <t>Ц Жакаранда мимозолистная 5шт. (Гр)  216066298</t>
  </si>
  <si>
    <t>Дерево, родом из южной и центральной частей Южной Америки, широко распространённое повсеместно из-за красивых, долго цветущих синих цветов. В России можно выращивать на улице только там, где зимой температура может на несколько часов опускаться до -12 °C, взрослое дерево выживает практически без видимых повреждений. В комнатных условиях выращивают как декоративно-лиственное и в стиле Бонсай. Используют для озеленения интерьера, размещая в хорошо освещённых местах в комнатах, холлах, вестибюлях.</t>
  </si>
  <si>
    <t>2000229570016</t>
  </si>
  <si>
    <t>Ц Жасмин Кустарниковый 5шт. (Гр) 284809524</t>
  </si>
  <si>
    <t>В диком виде произрастает в Западной Европе, Средней Азии, на побережье Чёрного моря. У жасмина гибкие зелёные ветви со спирально расположенными листьями. Листья эллиптические с округлыми окончаниями, тройчатые, по краям реснитчатые, глянцевые сверху, снизу светлые. Цветки с характерным нежным ароматом жасмина, жёлтые. Располагаются на концах боковых веточек по 2-4. Чашечка колокольчатая, венчик блюдцевидный. Цветение в мае-июле. Плод - чёрная ягода. Растение ядовито. Ветви, плоды и цветки тем не менее применяются в лечебных целях. Препараты из жёлтого жасмина применяются при мигренях, коклюше, стенокардии, жёлтый жасмин эффективен при лечении гонореи. Выдерживает кратковременные морозы до −20-25 °С без укрытия. Хорошо переносят обрезку, которая способствует образованию дополнительных цветущих боковых ветвей. При выращивании в комнате не рекомендуется располагать горшок растения в спальне из-за сильного аромата цветков.</t>
  </si>
  <si>
    <t>2000248820017</t>
  </si>
  <si>
    <t>Ц Инжир Садовый 30 шт. (Гр) 313050846</t>
  </si>
  <si>
    <t>Это субтропическое листопадное растение принадлежит к семейству Тутовые. У него светло-серая кора и крупные жёсткие листья. Высота дерева зависит от условий, в которых оно растёт. В Крыму оно может достигать 12 метров, а диаметр ствола - 60 см. Инжирное дерево можно выращивать в домах и квартирах. Это компактное растение, которое в горшке не вырастает выше 1,5 м. Цветёт дерево два-три раза в году: в апреле-мае, июне-июле и августе. После цветения фиги превращаются в сладкие соплодия с семенами. Эти плоды можно есть свежими, сушёными или консервированными. Из свежих плодов также варят варенье и джем. Инжир — не только вкусное, но и полезное растение. В качестве сырья используют его листья, которые собирают после снятия плодов и высушивают. В регионах с суровым климатом культуру выращивают в оранжереях или как комнатное растение.</t>
  </si>
  <si>
    <t>2000250340015</t>
  </si>
  <si>
    <t>Ц Кактус Распростертый опунция 4 шт. (Гр) 333545579</t>
  </si>
  <si>
    <t>Морозостойкий со съедобными плодами. Род растений семейства кактусовых. У них стелющийся стебель с члениками тёмно-зелёного цвета. На ареолах находятся красновато-коричневые глохидии (волоски, шипы), а иногда и колючки. Эти растения выращивают ради их плодов, которые богаты витамином С. Из плодов растения можно делать джемы и цукаты. Вкус плодов напоминает землянику, но они очень водянистые. Родина суккулента - от юго-востока до крайнего севера США. Это морозостойкое растение, способное зимовать без укрытия даже в средней полосе России (один из самых морозостойких кактусов). Растение также может поглощать электромагнитное излучение и уменьшать радиационный фон.</t>
  </si>
  <si>
    <t>2000227100017</t>
  </si>
  <si>
    <t>Ц Кактус Смесь 0,01 г (Гр)</t>
  </si>
  <si>
    <t>Комнатное, многолетнее растение. Смесь самых популярных, интересных и легко выращиваемых видов для домашнего выращивания. Форма стеблей, размер, форма и окраска колючек самая разнообразная. Растения являются нетребовательными комнатными культурами. Для данной смеси характерен длительный период всходов. Неприхотливы к условиям выращивания.</t>
  </si>
  <si>
    <t>2000250330016</t>
  </si>
  <si>
    <t>Ц Кактус Смесь видов карликовый 3 шт. (Гр) 333548908</t>
  </si>
  <si>
    <t>Это идеальный выбор для любителей кактусов, которые хотят разнообразить свою коллекцию уникальными растениями! Смесь включает в себя различные карликовые сорта кактусов, которые отличаются не только красивыми цветками, но и компактными размерами. Растения прекрасно подходят для выращивания в домашних условиях: они не занимают много места и могут стать настоящим украшением вашего подоконника или оранжереи. Эти кактусы известны своей выносливостью и неприхотливостью в уходе, что делает их отличным выбором как для начинающих, так и для опытных садоводов. Благодаря разнообразию сортов, вы сможете экспериментировать и создавать уникальные композиции из разных видов кактусов. Наблюдая, как каждый из них цветет и развивается, вы будете радоваться ярким краскам и тому, что вырастили эти растения своими руками.</t>
  </si>
  <si>
    <t>2000227110016</t>
  </si>
  <si>
    <t>Ц Канареечник Канарский 0,2г (Гр)</t>
  </si>
  <si>
    <t>Очень эффектный злак, который достаточно часто используется в ландшафтном дизайне. Правда он не подходит для создания газонов, но благодаря пестрой листве, прекрасно подходит для создания бордюров, рабаток и украшения подпорных стенок.Отличается своей непритязательностью и способностью приживаться в любых условиях.</t>
  </si>
  <si>
    <t>2000255620013</t>
  </si>
  <si>
    <t>Ц Канна Индийская 3 шт. (Гр) 369085020</t>
  </si>
  <si>
    <t>Многолетнее декоративное растение из семейства канновых, насчитывающее свыше пятидесяти видов, естественные места обитания которого охватывают Америку, Китай и Индию. В Европе канны появились лишь в конце XVI века. Это растение поражает своей эффектной окраской цветков и разнообразием оттенков крупных листьев, которые могут быть темно-зелеными, багровыми или темно-фиолетовыми. Канна лишена запаха, теплолюбива, устойчива к болезням и засухе, а период её цветения продолжается с июня по октябрь. Листья имеют длину до 80 см и ширину до 20 см, а цветки могут быть однотонными или крапчатыми, варьируя от красного до желтого, розового и белого оттенков. Корневища канны употребляются в пищу и находят применение в кормлении скота.</t>
  </si>
  <si>
    <t>2000234970016</t>
  </si>
  <si>
    <t>Ц Катарантус Ocean Black Moon F1 5шт. (Гр) 285499739</t>
  </si>
  <si>
    <t>Роскошная серия с традиционными и необычными цветками экзотической окраски. Растение формирует плотный куст, высотой 25 см, с короткими междоузлиями и красивыми тёмно-зелёными блестящими ланцетовидными листьями, на фоне которых особенно эффектно сияют цветки, диаметром 5-7 см, необычных окрасок. Растение с хорошей устойчивостью к внешним факторам выращивания. Период цветения май-сентябрь, с 8-10 недели от полных всходов.</t>
  </si>
  <si>
    <t>2000234980015</t>
  </si>
  <si>
    <t>Ц Катарантус Ocean Cherry F1 5шт. (Гр)</t>
  </si>
  <si>
    <t>2000207090017</t>
  </si>
  <si>
    <t>Ц Катарантус Ocean Deep Orhid F1 5шт. (Гр)</t>
  </si>
  <si>
    <t>2000234990014</t>
  </si>
  <si>
    <t>Ц Катарантус Ocean White Eye F1 5шт. (Гр)</t>
  </si>
  <si>
    <t>2000225120017</t>
  </si>
  <si>
    <t>Ц Катарантус амп. Mediterranean XP Mix F1 5шт. (Гр)</t>
  </si>
  <si>
    <t>Ампельные серии Mediterranean ХР, как нельзя лучше отвечают современным тенденциям в озеленении, где все большую популярность приобретают композиции с использованием подвесных корзин и кашпо. Преимуществами, по сравнению с другими ампельными сериями, являются также более крупные цветки и очень высокая плотность и продолжительность цветения, сильное естественное ветвление, высокая энергия всхожести семян и дальнейшего развития сеянцев, терпимость растений к недостатку влаги в жаркие, засушливые дни. У растений данной серии при высоте всего до 15 см длина побегов достигает 76 см. Быстрорастущие ветвящиеся растения в короткий срок заполняют все пространство подвесной корзины и красиво свешиваются за ее пределы.</t>
  </si>
  <si>
    <t>2000215200019</t>
  </si>
  <si>
    <t>Ц Катарантус амп. Mediterranean XP Бургунди Хало F1 5шт. (Гр)</t>
  </si>
  <si>
    <t>2000257760014</t>
  </si>
  <si>
    <t>Ц Катарантус гибридный TATTOO Orange F1 3 шт. (Гр) 285501161</t>
  </si>
  <si>
    <t>Катарантус TATTOO - полуампельное, гибридное, роскошно цветущее растение. Это новая уникальная серия с необычно фантастическими окрасками цветков, удивительные переходы из одного цвета в другой. Присутствует эффект люминисцентного свечения лепестков. Обильно цветущий сорт с крупными цветками 5-6 см. Растение образует плотный куст с короткими междоузлиями, сильным ветвлением у основания, разрастается в ширину на 50-60 см. Великолепно растет в сухих солнечных условиях и жарком климате. идеально для контейнерного озеленения, в том числе, для подвесных корзин.</t>
  </si>
  <si>
    <t>2000229150010</t>
  </si>
  <si>
    <t>Ц Катарантус гибридный TATTOO Papaya F1 5 шт. (Гр) 285503452</t>
  </si>
  <si>
    <t>2000257750015</t>
  </si>
  <si>
    <t>Ц Катарантус гибридный Мандариновый F1 (TATTOO Tangerine) 3 шт.  (Гр) 285508098</t>
  </si>
  <si>
    <t>2000257770013</t>
  </si>
  <si>
    <t>Ц Катарантус Тату Блэк Черри F1 розовый (Винка) 3 шт. (Гр) 285509496</t>
  </si>
  <si>
    <t>2000215000015</t>
  </si>
  <si>
    <t>Ц Лаванда белая Elegance Snow 5 шт. (Гр)</t>
  </si>
  <si>
    <t>Зимостойкая многолетняя культура, хорошо переносит пониженные температуры. Растения этого сорта отличаются активным ветвлением, выравненным габитусом, однородностью соцветий, ранним и продолжительным цветением. Формирует колосовидные соцветия с белоснежными цветками. Отлично подходит для выращивания в кашпо, вазонах, в бордюрных посадках, на клумбах. Используется в качестве сухоцвета. Высота растения 30-35 см. Диаметр растения 25-30 см. Размер цветка 0,8-1,5 см.</t>
  </si>
  <si>
    <t>2000212820012</t>
  </si>
  <si>
    <t>Ц Левизия Котиледон Elise Ruby Red  3шт. (Гр) 277832687</t>
  </si>
  <si>
    <t>Левизия котиледон Elise Ruby Red - многолетний, вечнозеленый, неприхотливый, низкорослый (30см) суккулент с изумительными цветками. Листья растения гладкие, мясистые с зубчатым краем собраны в прикорневую розетку. Цвет с мая по июнь с постепенным распусканием цветов. Идеально подходит для каменистых садов и альпийских горок, высадки в вазоны и контейнеры, также отлично используется как комнатное растение.</t>
  </si>
  <si>
    <t>2000223540015</t>
  </si>
  <si>
    <t>Ц Лимонник Китайский  5 шт. (Гр) 375528755</t>
  </si>
  <si>
    <t>Многолетняя, теневыносливая, морозоустойчивая, вьющаяся, листопадная лиана до 15 м длиной, с диаметром стволика 2,5 см. Цветёт белыми, поникающими цветками до 2 см в диаметре. Наиболее красочна осенью, украшенная ярко-красными обильными плодами, которые сохраняются до устойчивых морозов и эффектно выделяются на фоне жёлто-окрашенной листвы, придавая посадкам своеобразный вид. Ягоды сочные, кислые, с запахом лимона, съедобные. Применяется для украшения стен, беседок и т.п.</t>
  </si>
  <si>
    <t>2000254870013</t>
  </si>
  <si>
    <t>Ц Литопс Живые Камни смесь 4 шт. (Гр) 371542838</t>
  </si>
  <si>
    <t>В природе они обитают в условиях сухого пустынного климата, что делает их идеально приспособленными к низкому уровню влажности. Несмотря на суровые условия, литопсы образуют обширные колонии, иногда полностью скрываясь под слоем песка или камней. Обладая удивительной способностью мимикрировать под окружающую среду, они окрашивают свои листья в цвет каменистого грунта, чтобы избежать поедания животными. Растение не имеет стебля, а состоит из двух сросшихся плотных листьев с небольшой щелью между ними. Из этой щели прорастают цветок и корень. Толстые листья способны накапливать влагу, что помогает литопсам пережить засушливые периоды. Листочки разделены щелью-ложбинкой, в которой можно увидеть светло-зелёные клетки меристемы. Именно из этой щели появляются цветы и новые листья. В высоту все растения не превышают 5 см, а максимальный диаметр составляет 4-6 см.</t>
  </si>
  <si>
    <t>2000182360013</t>
  </si>
  <si>
    <t>Ц Лотос Гигантский Виктория Амазонская 2 шт. (Гр)</t>
  </si>
  <si>
    <t>Виктория амазонская - самая крупная кувшинка в мире, названная в честь знаменитой британской королевы. Растение известно своими огромными размерами - в ширину однакувшинка достигает 2 м. При этом она выдерживает на себе вес до 50 кг. Цветки Виктории диаметром 25-40 см ароматные, большие — раскрываются вечером, причем сначала они белые, к утру розовеют и закрываются, опускаясь под воду; к концу дня они снова раскрываются и становятся малиновыми. Сама кувшинка может прожить в природе до 5 лет, у нас выращивается как однолетнее.</t>
  </si>
  <si>
    <t>2000182330016</t>
  </si>
  <si>
    <t>Ц Лотос Орехоносный (Nelumbo nucifera) 2 шт. (Гр) 276926675</t>
  </si>
  <si>
    <t>Относится к многолетним декоративным и лекарственным растениям. Это довольно редкий вид поэтому и занесен в Красную книгу. Лотос орехоносный самый яркий представитель прибрежной флоры. Лучше всего чувствует себя в стоячей воде или на реках с очень маленьким течением. В естественной среде обитания создает заросли. Цветет крупными розовыми цветами диаметром 30 см, которые не плавают по воде, а поднимаются над поверхностью воды на прямой цветоножке, имеют обратноконическое широкое цветоложе, окруженное множеством лепестков нежного розового оттенка. Это уникальное зрелище, которое запоминается на долго. Цветы издают очень приятный аромат, поэтому относятся к медоносным цветам. У лотоса довольно сильные корни, с внушительным запасом витаминов и микроэлементов. Не терпит морозы и засуху, сразу погибает. Растение относится к съедобным, поэтому применяется в фармакологии и пищевой промышленности. Например, в китайской или тайской кухне корень лотоса считается деликатесом.</t>
  </si>
  <si>
    <t>2000235380012</t>
  </si>
  <si>
    <t>Ц Маттиола Cinderella Yellow карликовая 5 шт. (Гр) 376034933</t>
  </si>
  <si>
    <t>Суперкомпактное растение высотой 15-25 см, с крупными махровыми цветками. Имеет изысканный приятный аромат. Прекрасно смотрится в горшках, кашпо, контейнерах, а также в открытом грунте. От всходов до цветения растения проходит примерно 2,5-3 месяца.</t>
  </si>
  <si>
    <t>2000258740015</t>
  </si>
  <si>
    <t>Ц Мискантус Китайский  0,1 г (Гр) 276393526</t>
  </si>
  <si>
    <t>Мискантус, известный также под названием веерник, один из самых красивых азиатских злаков и по праву считается величественным злаком. Декоративный многолетник имеющий сильные стебли с роскошными метёлками в обрамлении не менее красивой листвы. Оно придаст саду очарование и будет радовать на протяжении всего дачного сезона. Растение неприхотливое, хорошо зимует в нашем климате. В высоту вырастает от 80 см до 2 м, однако отдельные экземпляры могут вырастать выше 3 м. Длина метёлок вырьируется от 12 до 30 см. Растение превосходно смотрятся как в групповых, так и одиночных посадках. Засушенные соцветия-метёлки прекрсано подходят для создания букетов.</t>
  </si>
  <si>
    <t>2000177230017</t>
  </si>
  <si>
    <t>Ц Мискантус Сахароцветковый  0,1 г (Гр) 276398714</t>
  </si>
  <si>
    <t>Растение относится к роду травянистых многолетников семейства злаковых. Благодаря мощной ползучей корневой системе, этот злак способен прижиться на любых почвах. Если вы хотите создать на своём участке живую стену, ширму или пейзажный фон для декоративных кустарников и многолетников, то этот злак станет отличным выбором. Срезанные соцветия этого злака хорошо смотрятся в композициях из сухих цветов. Растение может достигать высоты до 1,5 м и выше. Стебли прямостоячие, листья зелёного цвета, кожистые и жёсткие, шириной 1-1,5 см. Осенью листья приобретают жёлтый, коричневый или бордовый оттенок. Метельчатое соцветие этого злака имеет длину до 30 см и может быть белого или розовато-серебристого цвета. Растение образует густые заросли и остаётся декоративным с весны до поздней осени.</t>
  </si>
  <si>
    <t>2000235030016</t>
  </si>
  <si>
    <t>Ц Молодило Цыпочка - Хиппи  5 драже (Гр) 276475663</t>
  </si>
  <si>
    <t>Растение отличается удивительной жизнестойкостью и способностью выживать в самых сложных условиях. Благодаря этому качеству, а также своему необычному облику молодило пользуется огромной популярностью не только у цветоводов и садоводов, но и у ландшафтных дизайнеров. Многолетнее травянистое растение с толстыми мясистыми побегами. Почвопокровный сорт. Активно применяется для декора приусадебных и придомовых территорий, высота - 10 см, размер цветка 15 см. В народе молодило называют ещё «каменной розой» за схожесть с «царицей цветов». Только своеобразный «бутон» образуют не лепестки, а листья. Они обладают плотной кожицей и имеют вид розетки. Принадлежит к группе почвопокровных растений, которые в большом количестве визуально напоминают ковёр, поэтому их называют также «ковровыми растениями».</t>
  </si>
  <si>
    <t>2000236550018</t>
  </si>
  <si>
    <t>Ц Остеоспермум Ледяное Небо 0,1 гр. (Гр)</t>
  </si>
  <si>
    <t>Растение густооблиственное, образует низкорослый раскидистый кустик высотой 40-60 см. Цветки крупные, диаметром до 8 см, с тёмным красно-фиолетовым центром и белыми язычковыми венчиками, с нижней стороны покрытыми розовыми прожилками. Каждый цветок сохраняет декоративность на протяжении 5-7 дней, после чего отцветает, а на его месте или рядом раскрываются новые. Отличительной особенностью культуры является нежный цветочный аромат, который исходит не от цветков, а от стеблей и зелёной массы. Растение не теряет декоративности в непогоду. Выращивают в различного рода цветниках, вазонах и кадках на террасах и внутренних двориках, балконных ящиках. Добавит изящества и свежести любой садовой композиции!</t>
  </si>
  <si>
    <t>2000236560017</t>
  </si>
  <si>
    <t>Ц Остеоспермум Смесь окрасок 0,1 гр. (Гр)</t>
  </si>
  <si>
    <t>2000243300019</t>
  </si>
  <si>
    <t>Ц Пампасная трава Белая (Кортадерия) 0,01г (Гр) 375474226</t>
  </si>
  <si>
    <t>Соцветия широко используют на срезку в свежем или засушенном виде. Эффектное декоративное растение, главным украшением которого является множество пышных колосовидных соцветий, венчающих прочные стройные цветоносы. Со временем разрастаются в очень густые плантации, которые выглядят весьма привлекательно сами по себе. Шелковистые метёлки цветков гордо возвышаются над зарослями листьев, покачиваясь и перешёптываясь на осеннем ветру. Цветет с августа по октябрь. В садовом дизайне кортадерию используют в качестве архитектурного растения для создания эффектной вертикальной линии. Высаживают на открытом пространстве или среди других растений на заднем плане миксбордера. Растения, расположенные у воды или по соседству с камнями, также представляют собой весьма красивое зрелище.</t>
  </si>
  <si>
    <t>2000126390014</t>
  </si>
  <si>
    <t>Ц Пампасная трава Микс 0,01г (Гр) 216073679</t>
  </si>
  <si>
    <t>2000172660017</t>
  </si>
  <si>
    <t>Ц Пампасная трава Розовая (Кортадерия) 0,01г (Гр) 216068592</t>
  </si>
  <si>
    <t>Соцветия широко используют на срезку в свежем или засушенном виде. Эффектное декоративное растение, главным украшением которого является множество пышных колосовидных соцветий, венчающих прочные стройные цветоносы. Со временем разрастаются в очень густые плантации, которые выглядят весьма привлекательно сами по себе. Шелковистые розовые метёлки цветков гордо возвышаются над зарослями листьев, покачиваясь и перешёптываясь на осеннем ветру. Цветет с августа по октябрь. В садовом дизайне кортадерию используют в качестве архитектурного растения для создания эффектной вертикальной линии. Высаживают на открытом пространстве или среди других растений на заднем плане миксбордера. Кортадерии, расположенные у воды или по соседству с камнями, также представляют собой весьма красивое зрелище.</t>
  </si>
  <si>
    <t>2000225180011</t>
  </si>
  <si>
    <t>Ц Петуния Tidal Wave Cherry F1 ампельная  3 драже (Гр) 285459377</t>
  </si>
  <si>
    <t>Уникальный гибрид с глубоким цветом атласных лепестков и превосходными показателями цветения и роста! Рано зацветает и продолжительно цветет весь сезон, даже при коротком дне осенью. Лепестки имеют плотную текстуру, что позволяет отталкивать воду и мгновенно восстанавливаться после дождя и ветра. Демонстрирует невероятную устойчивость к болезням и делает уход лёгким как для профессионалов, так и для любителей. Благодаря мощному ветвлению, мгновенно заполняет пространство и идеально подходит для больших цветников и контейнеров. При высоте куста в 50 см, длина плетей достигает 1,5 м, а само растение занимает площадь более 2,5 м.кв.</t>
  </si>
  <si>
    <t>2000225170012</t>
  </si>
  <si>
    <t>Ц Петуния Tidal Wave Hot Pink F1 ампельная  3 драже (Гр) 285460681</t>
  </si>
  <si>
    <t>2000265450013</t>
  </si>
  <si>
    <t>Ц Петуния Белая Махровая крупноцветковая (E1352 White Double) 10 шт (Гр)</t>
  </si>
  <si>
    <t>Крупноцветковая петуния с интенсивно бахромчатыми лепестками – яркое украшение любого сада. У 50 % растений цветки махровые, пышные, у остальных – простые, но не менее выразительные. Все цветки диаметром 6-7 см, с нежно-белыми лепестками и контрастным ярко-жёлтым зевом, создающим эффект «солнечного сердца». Этот визуальный акцент придаёт цветкам особую выразительность и делает их заметными даже издалека. Растения компактные, высотой 35-40 см, с густой, хорошо разветвлённой кроной, формирующей пышные кусты. Цветение обильное, продолжительное и устойчивое к непогоде. Петуния радует красотой с раннего лета до самых заморозков. Гибрид отлично подходит для выращивания в цветниках, клумбах, а также в горшках, вазонах и подвесных корзинах. Благодаря универсальности и высокой декоративности, он станет звездой балкона, террасы или садовой композиции.</t>
  </si>
  <si>
    <t>2000248830016</t>
  </si>
  <si>
    <t>Ц Питахайя Сердце Дракона Красное 5 шт (Гр)</t>
  </si>
  <si>
    <t>Крупный кактус, который может быть лазящим или стелющимся. Его высота может варьироваться от 3 до 15 м. В английском языке этот фрукт называют «драконий фрукт». Кактус имеет плод с красной кожицей и красную мякоть. Естественный ареал растения простирается от Гватемалы до Северо-Восточного Перу и включает в себя сухие лесные и прибрежные области, расположенные на высотах до 1400 м над уровнем моря. В средней полосе растение выращивают в горшках в комнатных условиях, а летом выносят в тенистый сад. Плоды содержат мало калорий и богаты витамином С, фосфором, кальцием, клетчаткой и антиоксидантами. Рекомендуется есть их слегка охлаждёнными и не сочетать с блюдами с резким вкусом. Из питайи делают сок, вино и используют для придания вкуса напиткам. Цветы этого кактуса также съедобны. При нагревании аромат плода утрачивается. Для приготовления его разрезают вертикально на две половинки, а затем либо разрезают на дольки, либо вычерпывают мякоть ложкой.</t>
  </si>
  <si>
    <t>2000144470019</t>
  </si>
  <si>
    <t>Ц Плюмерия Манго (франжипани) 3 шт. (Гр) 375456580</t>
  </si>
  <si>
    <t>Имеет чарующие цветки желтого цвета. Природа наделила плюмерию волшебным благоуханием. Это растение имеет также другое красивое название «франжипани», которое получило в честь итальянского дворянина, создавшего парфюм с использованием этого цветка.  Цветами принято украшать помещение и столы во время праздников, ведь они могут храниться месяцами и выглядеть при этом так, как будто их только что сорвали. Высота плюмерии в домашних условиях может достигать 1,5м. Цветы растения способны менять свой цвет в последствие резкой перемены окружающей среды. Выращивание плюмерии дело весьма не сложное. Цветок предпочитает находиться под ярким освещением — месторасположение растения должно находиться на южных окнах. Температура в помещении, где обитает цветок, не должна опускаться ниже отметки в +17-18С. Поливать плюмерию нужно по мере того, как почва в горшке начинает немного подсыхать. Перед посевом семена нужно замочить в стимуляторе роста или слегка теплой воде. Семена высевают в горшки небольшого размера (5-7см).</t>
  </si>
  <si>
    <t>2000144460010</t>
  </si>
  <si>
    <t>Ц Плюмерия Три Короля (франжипани) 3 шт. (Гр) 277947281</t>
  </si>
  <si>
    <t>2000166560019</t>
  </si>
  <si>
    <t>Ц Роза кустовая Микс 10 шт. (Гр) 285497024</t>
  </si>
  <si>
    <t>Кустовые розы (спрей-розы) — это группа, объединяющая растения с одной структурой строения (куст). Бутоны и их цветовая палитра разнообразны. Особенности кустовых роз: Высота — 30 см-3 м; Форма — компактная, раскидистая; Стебли — гибкие и одеревеневшие, гладкие, с большим количеством шипов; Листья — в виде эллипса, различных оттенков зеленого, матовые. Цветы — 8-20 см, одиночные или в соцветиях. Запах нежный или отсутствует. При этом каждый куст уникален. Имеет свою высоту стебля, окрас бутона, форму лепестков и листьев. Стоит знать, что в зависимости от вида и сорта, цветок может вырасти как миниатюрным, так и достаточно крупным, до 20 см. На некоторых может быть всего 10-15 лепестков, в то время как на других свыше 120.</t>
  </si>
  <si>
    <t>2000227080012</t>
  </si>
  <si>
    <t>Ц Роза кустовая Роксбурга 10 шт. (Гр) 313008762</t>
  </si>
  <si>
    <t>Листопадный кустарник 1,5-3 м высоты, с раскидистой, густой, округлой кроной. Ветви длинные, иногда до 5 м, жесткие, с палево коричневой или серой, шелушащейся корой, гладкие, изредка шиповатые. Шипы 0,6 см длины, редкие. Листья насыщено густо зеленые, с обеих сторон слабо опушенные или голые. Листочки в числе 9-15 (19) штук, 1-2,5 см длины, постепенно увеличивающиеся в размерах по направлению к верхушке, эллиптические или ланцетные, заостренные или тупые, тонко и остро зубчатые почти по всему краю. Цветки обычно одиночные, расположенные на концах коротких веточек, 5-7 см диаметром, махровые, реже простые, слабо ароматные. Лепестки от розовых, до карминовых. Чашелистики значительно короче лепестков, широкояйцевидные, остроконечные, листовидные, перисто-лопастные, снаружи шиповидные, после опадения лепестков прямостоячие, неопадающие. Цветоножки шиповатые. Плоды у немахровых форм 3-4 см диаметром, плоско шаровидные, зеленые, при созревании желто-зеленые, густо-щетинистые. Цветет в июне.</t>
  </si>
  <si>
    <t>2000249630011</t>
  </si>
  <si>
    <t>Ц Росянка Смесь Сортов 5шт.(Хищник) (Гр) 276427189</t>
  </si>
  <si>
    <t>Многолетнее насекомоядное травянистое растение, которое может достигать высоты до 25 см. У него обычно есть 1-3 безлистых стебля и розетка прикорневых листьев. Название этого растения связано с мелкими капельками липкой жидкости, которые образуются на его листьях. Эти капельки содержат различные ферменты, которые привлекают насекомых и участвуют в процессе пищеварения растения. Одним из них является кониин - вещество, которое парализует пойманных насекомых. Когда насекомое прилипает к листу росянки, оно начинает вырываться. В этот момент к нему тянутся соседние волоски листа. Лист постепенно сворачивается вокруг своей добычи, чтобы её переварить. Переваривание среднего насекомого может занимать несколько дней. В Италии из росянки круглолистной готовят ликёр Розолио, который имеет пряный вкус. Также из этого растения производят препарат Drosera, который особенно эффективен при коклюше и приступах кашля с мокротой. Сок свежей травы росянки используют для удаления бородавок, мозолей и веснушек.</t>
  </si>
  <si>
    <t>2000253400013</t>
  </si>
  <si>
    <t>Ц Статица Серебристо-Белая татарская 10шт. (Гр)</t>
  </si>
  <si>
    <t>Это многолетнее растение выглядит весьма необычно. Над прикорневой розеткой листьев возвышается пышное и густое соцветие, состоящее из мелких серебристо-белых цветков диаметром около 1 см. Стебли достигают высоты до 60 см, прямостоячие и в верхней части разветвленные. Цветение длится с июля до заморозков, а после его завершения цветоносы можно срезать и использовать в качестве сухоцвета зимой, при этом они не теряют свою форму. Растение идеально подходит для создания зимних цветочных композиций и букетов. Его можно высаживать небольшими группами в миксбордерах и рокариях. Для сушки цветоносы срезают во время полного цветения, но до того, как начнут блекнуть нижние цветки.</t>
  </si>
  <si>
    <t>2000251460019</t>
  </si>
  <si>
    <t>Ц Фейхоа Крупноплодный 7 шт. (Гр) 375523550</t>
  </si>
  <si>
    <t>Выносливый вечнозеленый кустарник средней высоты с кожистыми листьями и соцветиями красных цветов. Осенью дают обильные урожаи ярко-зеленых плодов. Отлично развивается в виде горшечной культуры. Великолепно подходит для живых изгородей. Сладкие плоды можно есть сырыми или использовать для приготовления желе и варенья. Плод фейхоа – кладезь витаминов микроэлементов. Содержит легко усваиваемый йод. Достаточно съесть одну ягоду для удовлетворения суточной нормы йода. Плоды не вызывают аллергических реакций, что делает фейхоа идеальным лакомством для детей. Очень красивые цветы фейхоа (до 4 см в диаметре) великолепно подходят для приготовления ароматного чая. Хоть фейхоа родом из тропиков, культура довольно морозостойка.</t>
  </si>
  <si>
    <t>2000189410018</t>
  </si>
  <si>
    <t>Ц Хна (Lawsonia inermis) 10 шт. (Гр) 375492995</t>
  </si>
  <si>
    <t>Лавсония - небольшое многолетнее дерево, которое вы можете вырастить как комнатное растение. На улице его можно выращивать, если температура не опускается ниже 11°С. В комнатной культуре это растение очень легко содержать. Основные требования - побольше света, тепла и поменьше влаги. И тогда вы сможете вырастить у себя дома чудесное растение, ароматом которого люди наслаждались еще задолго до нашей эры. Человек использует Хну уже более 9000 лет. Из ее листьев делают не только краску для волос, но и средство для обратботки ран, также хну применяют при заболеваниях кожи. Еще одно интересное применение хны - роспись по телу, михенди.</t>
  </si>
  <si>
    <t>2000177240016</t>
  </si>
  <si>
    <t>Ц Хоста гибридная Микс  0,02г (Гр) 285493027</t>
  </si>
  <si>
    <t>Почвопокровное корневищное растение, которое отличается высокими темпами роста. Высота растения достигает до 50 см. Крупные листья достигают 10-30 см в длину и могут похвастаться разнообразной расцветкой. Белые, жёлтые, золотистые, сизые, голубые, одноцветные и двухцветные, с контрастной каймой или полосками - все это хосты. Данная смесь гибридов и сортов долгоживущих декоративно-лиственных растений оживит любой уголок сада. Эта королева тени одинакова хороша как в одиночных посадках на фоне газона, так и в групповых композициях. Не менее декоративна она и в цвету, когда ее цветоносы густо усыпаны колокольчатыми цветами белого или сиреневого цвета. Хоста – долговечное растение, которое может расти на одном месте много лет, не теряя при этом своей удивительной декоративности.</t>
  </si>
  <si>
    <t>2000242630018</t>
  </si>
  <si>
    <t>Ц Целозия First Flame Purple перистая 4 др. (Гр) 368996612</t>
  </si>
  <si>
    <t>Серия First Flame формирует растения средней высоты (25-35 см), что позволяет использовать её в различных формах ландшафтного озеленения. Цветение наступает на 10-14 дней раньше, чем у других конкурирующих сортов, что снижает затраты на производство рассады. Соцветия крупные и плотные, представлены яркими окрасками, которые превосходно сочетаются между собой. Это идеальное бордюрное растение, также она хорошо подходит для выращивания в горшках и контейнерах.</t>
  </si>
  <si>
    <t>2000242640017</t>
  </si>
  <si>
    <t>Ц Целозия First Flame Red перистая 4 др. (Гр) 369004820</t>
  </si>
  <si>
    <t>2000244550017</t>
  </si>
  <si>
    <t>Ц Целозия First Flame Scarlet перистая 4 др. (Гр) 369000930</t>
  </si>
  <si>
    <t>2000242650016</t>
  </si>
  <si>
    <t>Ц Целозия First Flame Yellow перистая 4 др. (Гр) 368993455</t>
  </si>
  <si>
    <t>2000258090011</t>
  </si>
  <si>
    <t>Ц Эхеверия Городской Дуэт пекокка (Urban Yellow, Orange) 3 шт. (Гр) 371539908</t>
  </si>
  <si>
    <t>Очень привлекательный и рано цветущий сорт! Суккулент с розетками, достигающими диаметра 15 см. По мере взросления куст дает стелящийся побег, который можно при необходимости укоренить в соседний вазон. Куст выбрасывает длинный тонкий стебель, вытягивающийся на 25 см с бутонами яркого оранжевого окраса . В открытом грунте культивируется как однолетняя культура. Растения хороши для всех видов насаждений. Как одиночные растения они чудесным образом солируют в горшках. Прекрасно смотрятся в композициях на альпийских горках, рокариях, каменистых садиках и террариумах.</t>
  </si>
  <si>
    <t>2000235210012</t>
  </si>
  <si>
    <t>Ц Эхеверия пекокка Urban Orange 5 др. (Гр) 276480159</t>
  </si>
  <si>
    <t>Очень привлекательный и рано цветущий сорт! Суккулент с розетками, достигающими диаметра 15 см. По мере взросления куст дает стелящийся побег, который можно при необходимости укоренить в соседний вазон. Куст выбрасывает длинный тонкий стебель, вытягивающийся на 25 см с бутонами яркого оранжевого окраса. В открытом грунте культивируется как однолетняя культура. Растения хороши для всех видов насаждений. Как одиночные растения они чудесным образом солируют в горшках. Прекрасно смотрятся в композициях на альпийских горках, рокариях, каменистых садиках и террариумах.</t>
  </si>
  <si>
    <t>2000223580011</t>
  </si>
  <si>
    <t>Цифомандра Тамарилло (Томатное дерево) 5шт. (Гр)</t>
  </si>
  <si>
    <t>Экзотический фрукт, внешним видом напоминающий томаты, но с особенным вкусом! Оно относится к семейству пасленовых, а также известно как томатное дерево или цифомандра свекольная. Родиной растения являются горные массивы Южной Америки, острова Карибского бассейна. Дерево вырастает до 3-6 метров и может жить 15 лет. В комнатном варианте выглядит как невысокое вечнозеленое хрупкое деревце. В первый год растение развивается медленно, формируя мощную корневую систему и наращивая надземную часть до 1 метра высотой. Затем рост ускоряется и ограничивается высотой 2-2,5 метра. Плоды томатного дерева богаты полезными микроэлементами и витаминами группы А, В, С, Е, РР, а вкус напоминает смесь томата с маракуйей, киви и гуавы. Плоды созревают неодновременно, поэтому снятие производят несколько раз. Срезать плоды надо с ножкой длиной около сантиметра.</t>
  </si>
  <si>
    <t>2000159350016</t>
  </si>
  <si>
    <t>Чай Адыгейский 3 шт. (Гр) 313052447</t>
  </si>
  <si>
    <t>Растет на самой северной для чайной культуры точке планеты. Этот титул адыгейский чай забрал у краснодарского. Северный напиток «почерпнул» у китайского сородича умение выживать в экстремальных условиях. Выдерживает отрицательные температуры -25 градусов (полностью под снегом до -35), а значит способен расти в средней полосе России. На юге Сибири и Дальнем востоке, необходимо чуть обрезать кустарник, чтобы зимой он полностью был под снегом. Чай «Адыгейский» отличается от других не только морозостойкостью: он обладает повышенным бодрящим и тонизирующим эффектом. Содержание кофеина и танина в этом чае выше, чем в других сортах.</t>
  </si>
  <si>
    <t>9785090236843</t>
  </si>
  <si>
    <t>Чуфа (земляной миндаль) 5 шт. (Гр)</t>
  </si>
  <si>
    <t>Многолетнее травянистое растение семейства Осоковые, культивируемое как пищевое растение из-за съедобных клубеньков на корнях. Клубеньки чуфы съедобны и содержат 17-25 % жиров, около 20 % крахмала, до 4 % белка и до 28 % сахара. Имеют характерный, слегка сладкий, ореховый привкус. Их едят как в сыром, так и в поджаренном виде. Измельченные клубеньки добавляют в кондитерские изделия, делают из них халву. В Испании из них готовят сладкий прохладительный напиток - орчату. Поджаренные размолотые клубеньки используют как суррогат кофе. Масло из клубеньков чуфы по химическому составу близко к оливковому. Оно невысыхающее, густеет при окислении, золотистого цвета и приятного вкуса. Используется при изготовлении кондитерских изделий и как столовое масло. Также применяется при изготовлении высококачественного мыла. Зелень чуфы довольно декоративна, ее можно выращивать на клумбах или в качестве бордюрного растения.</t>
  </si>
  <si>
    <t>2000274870017</t>
  </si>
  <si>
    <t>Японское Перечное Дерево (Зантоксилум, Сычуаньский перец) 15 шт. (Гр)</t>
  </si>
  <si>
    <t>В Восточной Азии произрастает удивительное растение – зантоксилум, который также называют жёлтодревесником или японским перечным деревом. В дикой природе этот представитель флоры вырастает до 3 м, но в комнатных условиях превращается в изящное деревце высотой 50-70 см, идеально подходящее для создания бонсай. Особенность растения – его покрытый мелкими шипами ствол и побеги, которые со временем становятся колючими. Бело-жёлтые цветы сменяются красноватыми плодами, источающими тонкий цитрусовый аромат. В кулинарном мире известен сычуаньский перец – специя, которую получают из оболочек семян зантоксилума. Хотя название может ввести в заблуждение, к настоящему перцу он не имеет отношения. Уникальность этой специи заключается в веществе гидрокси-альфа-саншоол, которое пробуждает нервные окончания на языке, даря необычные вкусовые впечатления.</t>
  </si>
  <si>
    <t>2000198460011</t>
  </si>
  <si>
    <t>Ячмень Гривастый 0,1г. (Гр)</t>
  </si>
  <si>
    <t>Компактное, многолетнее, невысокое, травянистое растение с тонкими, изящными, слабооблиственными стеблями и длинными, пушистыми колосками. Его часто используют в ландшафтном дизайне для оформления садов и приусадебных участков в природном стиле. Он прекрасно сочетается с другими травами и красивоцветущими многолетниками, и может использоваться для формирования миксбордеров и бордюрных насаждений. Ячмень гривастый также можно использовать и для оформления альпинариев, рокариев и приствольных кругов деревьев. Кроме того, этот ячмень часто выращивают и под срез – из него получаются очень красивые, оригинальные, зимние букеты. Растение отличается прекрасной стойкостью к любым перепадам температуры (в особенности – к заморозкам) и нетребовательностью к поливу: засуха этому злаку не нанесёт большого урона.</t>
  </si>
  <si>
    <t>4627194618284</t>
  </si>
  <si>
    <t>Арбуз Медунок б/п 0,5 г. (Сотка/б)</t>
  </si>
  <si>
    <t>Золотая Сотка Алтая</t>
  </si>
  <si>
    <t>Сорт раннеспелый. Вегетационный период 75-80 дней. Растение длинноплетистое. Плоды шаровидные, массой 7-11 кг. Поверхность гладкая, окраска темно-зеленая со скрытым рисунком. Мякоть ярко-розового цвета, сочная, очень сладкая и ароматная. Семена черные, мелкие. Плоды хранятся 30-35 дней.</t>
  </si>
  <si>
    <t>4627194610776</t>
  </si>
  <si>
    <t>Арбуз Симпатяга 0,5 г. (Сотка)</t>
  </si>
  <si>
    <t>Сорт скороспелый, толерантный к мучнистой росе и антракнозу. Срок созревания 58-63 дня. Растение средней мощности, плетистое, главная плеть средней длины. Плоды широкоэллиптической формы, массой 4-8 кг, тёмно-зелёные с узкими скрытыми полосами чёрно-зелёного цвета. Мякоть яркая, розово-красная, средней плотности, сочная и сладкая. Плоды сохраняют товарные качества в течение 30 дней после съёма.</t>
  </si>
  <si>
    <t>4620765586609</t>
  </si>
  <si>
    <t>Арбуз Чунга Чанга 0,5 г. (Сотка)</t>
  </si>
  <si>
    <t>Сорт ранний, транспортабельный. Срок созревания 75-82 дня. Растение среднеплетистое. Плоды шаровидной формы, темно-зеленой окраски, массой 3-5 кг. Кора тонкая, прочная. Мякоть интенсивно-красная, нежная, сочная, очень сладкая и ароматная. Сорт прекрасно приспособлен к условиям Сибири!</t>
  </si>
  <si>
    <t>4620765589105</t>
  </si>
  <si>
    <t>Баклажан Боярин F1 0,2 г. (Сотка)</t>
  </si>
  <si>
    <t>Ранний гибрид с высокой завязываемостью плодов и устойчивостью к перепадам температуры. От всходов до созревания около 110 дней. Куст полураскидистый, высокий. Чашечка без шипов или имеет небольшие редкие шипы. Плоды грушевидно-цилиндрические, гладкие, глянцевые, длиной 20-22 см, диаметром 7-9 см и массой 220-250 г, в технической спелости темно-фиолетовые, в биологической – коричневые. Мякоть белая, плотная, отличного вкуса, без горечи. Используют в кулинарии и для переработки.</t>
  </si>
  <si>
    <t>4627132133541</t>
  </si>
  <si>
    <t>Баклажан Внучок F1 0,2 г. (Сотка)</t>
  </si>
  <si>
    <t>Среднеспелый высокоурожайный сорт для выращивания в открытом и защищенном грунте. Растение полураскидистое, высокое. Плоды грушевидной формы, фиолетовые, глянцевые, массой около 200 г. Мякоть беловатая, отличного вкуса, без горечи. Сорт используется в кулинарии, для приготовления икры и консервирования. Ценится за высокие вкусовые качества продукции после кулинарной обработки и устойчивость к неблагоприятным условиям выращивания.</t>
  </si>
  <si>
    <t>4627163251030</t>
  </si>
  <si>
    <t>Баклажан Галактика F1 5 шт. (Сотка)</t>
  </si>
  <si>
    <t>Среднеранний (105-115 дней) гибрид для открытого грунта. Характеризуется стабильным завязыванием и интенсивным наливом плодов и при прохладной погоде, и в жару, плодоносит длительно. Растение мощное, с прекрасным листовым покрытием, отличной регенерацией и быстрым восстановлением после атак вредителей. Плоды цилиндрические, длиной 16-18 см, массой 270-350 г, гладкие, блестящие, темно-фиолетовые, транспортабельные. Мякоть белая, плотная, прекрасного вкуса, без горечи.</t>
  </si>
  <si>
    <t>4627132136566</t>
  </si>
  <si>
    <t>Баклажан Рома F1 8 шт. (Сотка)</t>
  </si>
  <si>
    <t>Гибрид среднеранний, дает высокий урожай в открытом грунте и теплицах. Активно плодоносит, не сбавляя темп, до заморозков и противостоит атакам вредителей благодаря быстрому восстановлению вегетативной массы. Растение сомкнутое, высокое, шипы отсутствуют. Плоды грушевидные, длиной 20-25 см, массой 200-250 г, темно-фиолетовые, отлично транспортируются. Мякоть беловатая, без горечи. Высокие вкусовые качества продукции сохраняются после кулинарной обработки.</t>
  </si>
  <si>
    <t>4620765570523</t>
  </si>
  <si>
    <t>Баклажан Фиолетовый длинный 0,2 г. (Сотка)</t>
  </si>
  <si>
    <t>Высокоурожайный раннеспелый сорт для выращивания в открытом и защищенном грунте. Растение компактное, высотой 40-55 см. Плоды темно-фиолетовые, глянцевые, цилиндрические, длинные, маленького диаметра, массой 200-250 г. Мякоть зеленовато-белая, без горечи, отличных вкусовых качеств, которые сохраняются после кулинарной обработки. Сорт используется в кулинарии, для переработки и консервирования. Ценится за устойчивость к комплексу заболеваний, высокую товарность и транспортабельность плодов.</t>
  </si>
  <si>
    <t>4627132133558</t>
  </si>
  <si>
    <t>Баклажан Цаконики 0,2 г. (Сотка)</t>
  </si>
  <si>
    <t>Оригинальный раннеспелый сорт, рекомендованный для выращивания в пленочных теплицах и открытом грунте. От появления всходов до плодоношения 70-75 дней. Растение мощное, высотой 65-75 см. Плоды булавовидной формы, слегка изогнутые, длиной 15-20 см, диаметром 6-10 см и массой 200-250 г, белые с прерывистыми фиолетовыми полосами. Мякоть кремовая, плотная, с изысканным сладковато-грибным вкусом. Сорт используется в домашней кулинарии, для консервирования, запекания и гриля. Отлично переносит стрессовые условия выращивания, формирует стабильный и высокий урожай.</t>
  </si>
  <si>
    <t>4627132133374</t>
  </si>
  <si>
    <t>Баклажан Цаконики б/п 0,2 г. (Сотка/б)</t>
  </si>
  <si>
    <t>Оригинальный ранний сорт. Куст мощный, высотой 65-75 см. Плоды булавовидные, слегка изогнутые, размером 17х8 см, белые с прерывистыми фиолетовыми полосами. Мякоть кремовая, плотная, с изысканным сладковато-грибным вкусом. Используется в кулинарии, для консервирования, запекания и гриля.</t>
  </si>
  <si>
    <t>4627132137044</t>
  </si>
  <si>
    <t>Капуста б/к Настя 0,2 гр. (Сотка)</t>
  </si>
  <si>
    <t>Ультраранний гибрид с великолепными вкусовыми и товарными качествами. От высадки рассады до уборки 48-50 дней. Кочан округлый, массой 0,6-1,8 кг, покрытый, на разрезе желтоватый, внутренняя структура тонкая, вкус нежный, сладковатый. Гибрид транспортабельный, устойчив к цветушности и фузариозному увяданию, созревает дружно. Используется в свежем виде и кулинарии. Отличный выбор для обеспечения рынка ранней продукцией.</t>
  </si>
  <si>
    <t>4627194619564</t>
  </si>
  <si>
    <t>Капуста б/к Ранетка 10 шт. (Сотка)</t>
  </si>
  <si>
    <t>Раннеспелый гибрид белокочанной капусты (42-45 дней от высадки рассады до уборки урожая). Рекомендуется для выращивания в открытом грунте, под временными укрытиями и в пленочных теплицах. Кочаны зеленые, на разрезе - беловатые, однородные, округлой формы, массой 07-1,4 кг, с очень короткой внутренней кочерыгой, устойчивые к растрескиванию.</t>
  </si>
  <si>
    <t>4627132134036</t>
  </si>
  <si>
    <t>Капуста б/к Сердце буйвола 0,5 гр. (Сотка)</t>
  </si>
  <si>
    <t>Скороспелый урожайный сорт. Кочаны необычной конусовидной формы, похожи на большое сердце, средней плотности, массой 1-2 кг, листья нежные и сочные, сладкого вкуса. Сорт отличается высоким содержанием минеральных солей, витаминов и микроэлементов, обладает устойчивостью к бактериозу. Идеально подходит для свежих салатов и нежнейших голубцов.</t>
  </si>
  <si>
    <t>4620765572459</t>
  </si>
  <si>
    <t>Капуста б/к Флорин б/п 0,3 гр. (Сотка/б)</t>
  </si>
  <si>
    <t>Среднепоздний высокоурожайный сорт сибирской се-лекции, рекомендованный для потребления в свежем виде и длительного хранения. Кочаны округло-плоские, массой 2,3-4,5 кг, плотные, обладают прекрасным вкусом. Сорт отличается хорошей вызреваемостью и устойчивостью к растрескиванию.</t>
  </si>
  <si>
    <t>4620765589204</t>
  </si>
  <si>
    <t>Капуста цв. Сахарная Вата 0,1 гр. (Сотка)</t>
  </si>
  <si>
    <t>Очень урожайный среднеранний сорт для выращивания в несколько сроков в течение всего сезона. От высадки рассады до срезки головок 65-75 дней. Розетка листьев мощная, прямостоячая, прекрасно защищает головки от солнечных ожогов покрывными листьями. Головки округло-куполовидные, белоснежные, плотные, диаметром 17-20 см, массой до 1,5 кг, обладают великолепным вкусом.</t>
  </si>
  <si>
    <t>4657810210738</t>
  </si>
  <si>
    <t>Капуста цв. Униботра 0,1 гр. (Сотка)</t>
  </si>
  <si>
    <t>Среднеранний урожайный сорт для выращивания в открытом грунте и под пленочными укрытиями. От высадки рассады до уборки 60-75 дней. Головки куполовидной формы, крупные, плотные, массой до 1,5-2,5 кг, белые, надежно защищены покровными листьями, обладают отличными вкусовыми качествами. Сорт подходит для возделывания во всех регионах, используется в домашней кулинарии, для консервирования и замораживания.</t>
  </si>
  <si>
    <t>4657810217249</t>
  </si>
  <si>
    <t>Огурец Алпака F1 5 шт (Сотка) 565988871</t>
  </si>
  <si>
    <t>Ранний партенокарпический гибрид для выращивания в плёночных теплицах и открытом грунте. От всходов до плодоношения 40-45 дней. Растение слабоветвистое, женского типа цветения. Корнишоны красивого внешнего вида, цилиндрической формы, мелкобугорчатые, короткие, плотные и хрустящие, сочные, ароматные, очень вкусные. Гибрид устойчив к заболеваниям, характеризуется дружной и равномерной отдачей высокого урожая. Используется в свежем виде, для засола и маринования.</t>
  </si>
  <si>
    <t>4627132130816</t>
  </si>
  <si>
    <t>Огурец Бодина F1 0,15 гр. (Сотка) 565996871</t>
  </si>
  <si>
    <t>Великолепный раннеспелый партенокарпический гибрид, обладающий высокой толерантностью к стрессовым условиям выращивания и устойчивостью к комплексу заболеваний. Растение преимущественно женского типа цветения, склонно к букетному завязыванию плодов. От полных всходов до плодоношения 38-43 дня. Корнишоны красивого внешнего вида, который сохраняется длительный период после съема, ровные и тонкие, бугорчатые, длиной 8-10 см, плотные, хрустящие. Мякоть нежная и сочная, очень высоких вкусовых качеств, без горечи. Гибрид отлично подходит для салатов и непосредственного потребления, приготовления малосольных, маринованных и соленых огурчиков.</t>
  </si>
  <si>
    <t>4627163250293</t>
  </si>
  <si>
    <t>Огурец Импреса F1 5 шт (Сотка) 566226884</t>
  </si>
  <si>
    <t>Гибрид очень урожайный, самоопыляемый, высокоустойчив к болезням. Рекомендуется для весеннего и летне-осеннего оборота в остекленных и пленочных теплицах. Срок созревания 42-45 дней. Растение очень мощное, с хорошей регенерацией и отличной адаптацией к различным условиям выращивания. Цветок долго сохраняется на плоде. Зеленцы бугорчатые, длиной 12-14 см, при сборе с плодоножкой длительное время не увядаюти прекрасно транспортируются. Вкус отличный. Использование универсальное.</t>
  </si>
  <si>
    <t>4627132137150</t>
  </si>
  <si>
    <t>Огурец Проликс F1 5 шт (Сотка) 566262067</t>
  </si>
  <si>
    <t>Раннеспелый партенокарпический гибрид универсального назначения. Растение средневетвистое, женского типа цветения с пучковой завязью, обладает высокой регенеративной способностью, а благодаря горчинке в листве не поражается паутинным клещом и другими вредителями. Зеленцы короткие, массой 60-100 г, цилиндрические, зеленые с очень короткими полосами, мелкобугорчатые, с тонкой кожицей. Мякоть сочная и нежная, хрустящая, великолепного вкуса, без горечи.</t>
  </si>
  <si>
    <t>4627092100645</t>
  </si>
  <si>
    <t>Перец Асти Ред 0,1 гр. (Сотка) 553950012</t>
  </si>
  <si>
    <t>Срок созревания 90-100 дней. Куст мощный, полуштамбовый, высотой 50-60 см. Плоды правильной кубовидной формы, гладкие, красивого красного цвета, крупные, массой 180-250 г, мясистые. Мякоть сочная, сладкая, очень ароматная и невероятно вкусная. Толщина стенки до 10 мм.</t>
  </si>
  <si>
    <t>4627163251047</t>
  </si>
  <si>
    <t>Перец Атака F1 5 шт. (Сотка) 553940979</t>
  </si>
  <si>
    <t>Гибрид выносливый, адаптируется к различным климатическим условиям, особенно хорош при выращивании в теплицах. От всходов до созревания 100-110 дней. Куст полураскидистый, с укороченными междоузлиямии хорошей облиственностью. Плоды кубовидные, массой 160-200 г, глянцевые, в технической спелости цвета слоновой кости, в биологической - красные. Мякоть сочная, толщиной 10-12 мм, уже в технической спелости очень вкусная и ароматная.</t>
  </si>
  <si>
    <t>4620765576020</t>
  </si>
  <si>
    <t>Перец Добрыня Никитич F1 б/п 0,1 гр. (Сотка/б)</t>
  </si>
  <si>
    <t>Сорт раннеспелый, высокоурожайный, с букетным расположение плодов. Растение низкорослое, штамбовое, сомкнутое. Плоды пониклые, кубовидные, массой около 100 г, гладкие, глянцевые, сочные, вкусные, в технической спелости светло-желтые, в биологической - красные.</t>
  </si>
  <si>
    <t>4627163251436</t>
  </si>
  <si>
    <t>Перец Индиго F1 5 шт. (Сотка) 553951418</t>
  </si>
  <si>
    <t>Гибрид скороспелый, транспортабельный, устойчивый к болезням, непогоде и жаре. Растение среднерослое, сильное, полураскидистое, открытого типа. Плоды конусовидные, длиной 14-16 см, массой 150-170 г, цвета слоновой кости, при созревании красные, окрашиваются быстро. Мякоть сочная и нежная, ароматная, прекрасного вкуса. Использование универсальное. При выращивании в открытом грунте допускается увеличение густоты посадки благодаря большей компактности кустов.</t>
  </si>
  <si>
    <t>4657810216464</t>
  </si>
  <si>
    <t>Перец Оранжевая красавица 0,05 гр. (Сотка) 553938935</t>
  </si>
  <si>
    <t>Ранний высокоурожайный гибрид для открытого грунта и теплиц. От всходов до технической спелости 90-95 дней, до биологической 110-115 дней. Куст крепкий, полураскидистый, высотой до 1 м. Плоды кубовидной или кубовидно-призмовидной формы, массой 180-200 г, глянцевые, в технической спелости светло-зеленые, в биологической – оранжевые. Мякоть сочная и сладкая, с высоким содержанием бета-каротина и витамина С, толщиной 8-9 мм. Используют в свежем виде, в кулинарии и для переработки.</t>
  </si>
  <si>
    <t>4620765586678</t>
  </si>
  <si>
    <t>Перец Шерлок Холмс 0,2 гр. (Сотка)</t>
  </si>
  <si>
    <t>Невероятно урожайный среднеранний сорт. Период от массовых всходов до технической спелости 100-125 дней. Плоды кубовидные, ярко-красного цвета в биологической спелости, крупные, массой 200-250 г, мясистые, с очень ароматной, сочной мякотью, толщина стенки до 10 мм.</t>
  </si>
  <si>
    <t>4627194615917</t>
  </si>
  <si>
    <t>Томат Белый Айсберг 0,05 гр. (Сотка)</t>
  </si>
  <si>
    <t>Раннеспелый урожайный сорт для возделывания в открытом грунте и под плёночными укрытиями. Растения высотой около 0,5 м. Плоды интересного и красивого желтовато-кремового цвета, гладкие, грушевидной формы, массой 60-120 г, сочные и сахаристые, обладают очень хорошим сладковатым вкусом. Используют для непосредственного потребления, приготовления салатов и зимних заготовок.</t>
  </si>
  <si>
    <t>4620765586814</t>
  </si>
  <si>
    <t>Томат Буффало 0,05 гр. (Сотка) 565930881</t>
  </si>
  <si>
    <t>Великолепный среднеранний сорт для открытого и защищенного грунта. Растение детерминантное, высотой 50-70 см. Плоды сердцевидной формы, розово-красные, крупные, массой 300-400 г (отдельные до 800 г), мясистые и сахаристые, обладают отличными вкусовыми качествами. Сорт великолепно подходит для непосредственного потребления, приготовления деликатесных салатов и соков, переработки и консервирования.</t>
  </si>
  <si>
    <t>4627194610707</t>
  </si>
  <si>
    <t>Томат Бычок 0,1 гр. (Сотка)</t>
  </si>
  <si>
    <t>Высокоурожайный сорт с очень вкусными плодами. От всходов до созревания около 111 дней. Растение детерминантного типа, высотой 75-80 см. Плоды красные, перцевидно-кубовидной формы, гладкие, массой 125-170 г (отдельные до 300 г), плотные, хорошо хранятся, обладают высокими вкусовыми качествами. Сорт прекрасно подходит для непосредственного потребления и приготовления салатов, при засолке и мариновании помидоры не растрескиваются и сохраняют форму.</t>
  </si>
  <si>
    <t>4627163258763</t>
  </si>
  <si>
    <t>Томат Василина 0,1 гр. (Сотка)</t>
  </si>
  <si>
    <t>Отличный ранний сорт, стойко выдерживающий любую непогоду и дающий высокий урожай в парниках и открытом грунте. Растение индетерминантное, требует подвязки к опоре и пасынкования. Плоды округлые, аппетитного розового цвета, средней массой 120-130 г, плотные, мясистые, великолепного сладкого вкуса без кислинки. Сорт хорошо переносит транспортировку, используется в свежем виде, для консервирования и переработки.</t>
  </si>
  <si>
    <t>4657810213678</t>
  </si>
  <si>
    <t>Томат Веселый Роджер 0,05 гр. (Сотка) 565940697</t>
  </si>
  <si>
    <t>Высокопродуктивный ранний гибрид отечественной селекции. Срок созревания 93-97 дней. Куст индетерминантный, с укороченными междоузлиями и низким заложением первого соцветия, выращивается в один стебель, требует пасынкования. Плоды красивого розового цвета без зеленого пятна у плодоножки, сердцевидной формы с носиком, массой 250-350 г, мясистые и сочные, превосходного вкуса. Гибрид транспортабельный и лёжкий, устойчив к основным заболеваниям томатов. Используется в свежем виде, для консервирования и переработки.</t>
  </si>
  <si>
    <t>4620765578963</t>
  </si>
  <si>
    <t>Томат Гигантелла 0,1 гр. (Сотка)</t>
  </si>
  <si>
    <t>Среднеспелый высокоурожайный сорт с длительным (до заморозков) периодом плодоношения. Растение мощное, высотой 100-120 см и выше, требует пасынкования и подвязки. Плоды плоскоокруглой формы, малиновые, массой 200-400 г, отменного вкуса.</t>
  </si>
  <si>
    <t>4627194612404</t>
  </si>
  <si>
    <t>Томат Долька Желтая 0,1 гр. (Сотка) 565964994</t>
  </si>
  <si>
    <t>Среднеспелый высокоурожайный сорт с интересными плодами. Растение сильно облиственное, индетерминантного типа, требует подвязки и пасынкования. Плоды округло-плоской формы с сильно выраженным разделением на дольки, крупные, массой до 300-500 г и более, ярко-желтые, не растрескиваются. Мякоть с малым количеством семян, сочная и мясистая, превосходного вкуса. Сорт отлично подходит для свежего потребления, переработки и консервирования.</t>
  </si>
  <si>
    <t>4657810214385</t>
  </si>
  <si>
    <t>Томат Золотничок 0,1 гр. (Сотка)</t>
  </si>
  <si>
    <t>Очень ранний урожайный сорт для возделывания в открытом грунте и пленочных теплицах. Растение детерминантное, полураскидистое, высотой 45-60 см, с компактным расположением кистей. Плоды красивого ярко-оранжевого цвета, округлой формы, массой 40-55 г, гладкие, плотные, великолепного сладкого вкуса. Сорт прекрасно подходит для непосредственного потребления и приготовления салатов, консервирования и переработки.</t>
  </si>
  <si>
    <t>4657810214194</t>
  </si>
  <si>
    <t>Томат Золотой Смак 0,05 гр. (Сотка)</t>
  </si>
  <si>
    <t>Ранний ( 95-100 дней) высокоурожайный гибрид для открытого грунта и пленочных теплиц, характеризующийся высокой завязываемостью плодов в условиях повышенных температур. Куст индетерминантный, среднерослый, требует пасынкования и формирования в 1 стебель. Плоды тёмно-оранжевые, плоскоокруглые, гладкие, массой 220-250 г, плотные, многокамерные, мясистые и сладкие. Используют для непосредственного потребления, приготовления соков и салатов, переработки и консервирования.</t>
  </si>
  <si>
    <t>4657810217676</t>
  </si>
  <si>
    <t>Томат Котик 0,05 гр. (Сотка) 553874766</t>
  </si>
  <si>
    <t>Ранний (90-95 дней) гибрид с высокой устойчивостью к ряду заболеваний и дружным созреванием, что позволяет собирать богатый урожай целыми кистями. Куст индетерминантный, требует подвязки и пасынкования. Плоды нарядные, желтые с оранжевыми штрихами и полосами, удлиненно-яйцевидной формы с заостренной вершинкой, массой 30-35 г, собраны в кисти по 8-12 шт. Мякоть сочная и нежная, с уникальными вкусовыми качествами. Используют в свежем виде, для приготовления салатов, украшения блюд и цельноплодного консервирования.</t>
  </si>
  <si>
    <t>4627163251474</t>
  </si>
  <si>
    <t>Томат Креатив 5 шт. (Сотка)</t>
  </si>
  <si>
    <t>VIP-гибрид томата. Тип Бычье сердце. Очень вкусный!!! Гибрид ранний (90-95 дней), с высокой устойчивостью к ряду заболеваний и отличной завязываемостью плодов. Растение индетерминантное, хорошо сбалансированное, быстро восстанавливается после воздействия стресса. Корневая система мощная. Плоды сердцевидные, массой 220-300 г, насыщенно-розовые, без зеленого пятна у плодоножки, плотные, устойчивы к растрескиванию. Мякоть мясистая и саха-ристая, превосходного вкуса. Используют в свежем виде, для переработки и консервирования.</t>
  </si>
  <si>
    <t>4620765579786</t>
  </si>
  <si>
    <t>Томат Малиновка сливовидная 0,1 гр. (Сотка) 842321281</t>
  </si>
  <si>
    <t>Сорт высокоурожайный, транспортабельный, среднего срока созревания. От всходов до начала плодоношения около 120 дней. Растение детерминантное, высотой 50-70 см, не требует формирования и подвязки. Плоды красивой розово-малиновой окраски, удлиненно-сливовидные, массой 50-70 г, плотные, сладкие на вкус. Сорт идеально подходит для непосредственного потребления, приготовления салатов и консервирования, в том числе цельноплодного.</t>
  </si>
  <si>
    <t>4657810217522</t>
  </si>
  <si>
    <t>Томат Малиновый Смак 0,05 гр. (Сотка)</t>
  </si>
  <si>
    <t>Ранний высокоурожайный гибрид для открытого грунта и пленочных теплиц, характеризующийся устойчивостью к заболеваниям и высокой транспортабельностью плодов. От всходов до начала созревания 93-95 дней. Растение индетерминантное, требует подвязки и пасынкования. Плоды малиновые, округлой формы, массой 180-200 г, многокамерные, с плотной кожицей и нежной мясистой мякотью, обладают отличными вкусовыми качествами. Используют для непосредственного потребления, приготовления соков и салатов, переработки и консервирования.</t>
  </si>
  <si>
    <t>4627092104513</t>
  </si>
  <si>
    <t>Томат Малиновый шар 0,1 гр. (Сотка)</t>
  </si>
  <si>
    <t>Сорт среднеранний, высокоурожайный, транспортабельный и лежкий. Растение детерминантное. Плоды округлые, малиновой окраски, массой 120-200 г, очень плотные, мясистые и сахаристые, превосходного вкуса. Сорт рекомендуется для непосредственного потребления, приготовления салатов, соков и заготовок на зиму.</t>
  </si>
  <si>
    <t>4627092102991</t>
  </si>
  <si>
    <t>Томат Мясистый красный 0,1 гр. (Сотка)</t>
  </si>
  <si>
    <t>Среднеспелый сорт с крупными сладкими плодами. Рекомендуется для выращивания в открытом грунте и под плёночными укрытиями. От массовых всходов до плодоношения 110-115 дней. Растение индетерминантное, требует подвязки и формирования. Плоды плоскоокруглой формы, слаборебристые, массой 250-350 г (до 500 г), мясистые, великолепного вкуса. Сорт прекрасно подходит для приготовления вкуснейших салатов, соков, непосредственного потребления, засолки и переработки на томатопродукты.</t>
  </si>
  <si>
    <t>4627092100607</t>
  </si>
  <si>
    <t>Томат Мясистый оранжевый 0,1 гр. (Сотка)</t>
  </si>
  <si>
    <t>Среднеспелый крупноплодный сорт для открытого грунта и плёночных теплиц. От всходов до плодоношения 110-115 дней. Растение индетерминантное, требует подвязки и формирования. Плоды плоскоокруглые, слаборебристые, массой 250-350 г (до 500-700 г), мясистые, с высоким содержанием сахара. Прекрасно подходят для приготовления вкуснейших салатов, непосредственного потребления, переработки и засолки.</t>
  </si>
  <si>
    <t>4627092103004</t>
  </si>
  <si>
    <t>Томат Мясистый розовый 0,1 гр. (Сотка)</t>
  </si>
  <si>
    <t>Среднеспелый крупноплодный сорт для выращивания в открытом грунте и под плёночными укрытиями. От массовых всходов до начала плодоношения 110-115 дней. Растение индетерминантное, требует подвязки и формирования. Плоды плоскоокруглой формы, слаборебристые, массой 250-350 г (до 500 г), мясистые, сахаристые, потрясающе вкусные. Сорт прекрасно подходит для приготовления салатов, соков, непосредственного потребления, засолки и переработки на томатопродукты.</t>
  </si>
  <si>
    <t>4627163258770</t>
  </si>
  <si>
    <t>Томат Перцевидный Шоколадный 0,1 гр. (Сотка)</t>
  </si>
  <si>
    <t>Среднеранний сорт для открытого грунта и парников. От всходов до плодоношения 110-115 дней. Растение индетерминантное, требует формирования и подвязки. Плоды удлиненные, грушевидной формы, гладкие или слаборебристые, массой 90-110 г, интересного светло-коричневого цвета, плотные, великолепного вкуса, собраны в кисти по 10-12 шт. Сорт ценится за обильное и продолжительное плодоношение, рекомендуется для непосредственного потребления, приготовления салатов и цельноплодного консервирования.</t>
  </si>
  <si>
    <t>4627132134340</t>
  </si>
  <si>
    <t>Томат Русский черный 0,1 гр. (Сотка)</t>
  </si>
  <si>
    <t>Среднеспелый высокоурожайный сорт, рекомендованный для выращивания в открытом грунте и под плёночными укрытиями. Куст индетерминантный, требует подвязки к опоре и пасынкования, наилучшие результаты дает при формировании в 2-3 стебля. Плоды плоскоокруглой формы, крупные, массой 300-400 г, в стадии зрелости шоколадно-вишневого цвета, на разрезе вишневые, сладкие и очень вкусные. Эти помидоры идеальны для свежего потребления и приготовления сока.</t>
  </si>
  <si>
    <t>4627194610059</t>
  </si>
  <si>
    <t>Томат Сахарная бомба 0,05 гр. (Сотка)</t>
  </si>
  <si>
    <t>Великолепный урожайный сорт среднего срока созревания. От всходов до плодоношения 106-111 дней. Растение высотой 176-190 см, требуется подвязка и пасынкование. Рассада крепкая, не вытягивается. Плоды ярко-розовые, плоскоокруглой формы, крупные, массой 250-420 г (отдельные более 1 кг!). Мякоть мясистая и сахаристая, очень вкусная. Сорт используется для приготовления салатов и непосредственного потребления, подходит для консервирования и переработки на соки, пасты, кетчупы.</t>
  </si>
  <si>
    <t>4657810214279</t>
  </si>
  <si>
    <t>Томат Чуб 0,05 гр. (Сотка)</t>
  </si>
  <si>
    <t>Гибрид раннеспелый, устойчивый к жаре, стрессовым условиям выращивания и комплексу заболеваний. От полных всходов до созревания плодов 88-90 дней. Растение детерминантное, мощное, высотой 120-150 см. Плоды округлые с заостренной вершиной, массой 160-180 г, красные, без зелёного пятна у плодоножки, гладкие, многокамерные и плотные, не растрескиваются и хорошо транспортируются, обладают отличным вкусом. Используют в свежем виде, для приготовления салатов, переработки и консервирования.</t>
  </si>
  <si>
    <t>4627194619427</t>
  </si>
  <si>
    <t>Томат Эфемер 0,1 гр. (Сотка)</t>
  </si>
  <si>
    <t>Раннеспелый урожайный сорт, непопадающий под поражение фитофторозом благодаря быстрому развитию и созреванию. Растение детерминантное, высотой 50-70 см, компактное. Плоды ярко-красные, округлой формы, средней массой 80-100 г, плотные, мясистые и очень вкусные, не растрескиваются и хорошо переносят транспортировку. Сорт используется для непосредственного потребления и приготовления салатов, переработки и цельноплодного консервирования.</t>
  </si>
  <si>
    <t>4657810214415</t>
  </si>
  <si>
    <t>Ц Бархатцы Сафари Ред 10 шт. (Сотка)</t>
  </si>
  <si>
    <t>Бархатцы серии Сафари характеризуются энергичным развитием, ранним зацветанием и пышным цветением до осенних заморозков. Кустики низкорослые, объемные, с отличным ветвлением побегов. Цветки крупные, махровые и полумахровые, анемоновидные, темно-красные с желтой серединкой. Используют для оформления клумб, рабаток и бордюров, украшения контейнеров в саду и на балконе.</t>
  </si>
  <si>
    <t>4627092102786</t>
  </si>
  <si>
    <t>Ц Настурция Вождь краснокожих 5 шт. (Сотка)</t>
  </si>
  <si>
    <t>Неприхотливое растение со стелющимися, разветвленными побегами, очень темной листвой и махровыми ярко-красными цветками. Аромат тонкий, приятный. Хороша в качестве ампельного растения; если использовать как почвопокровное, способна создать живописный ковер на клумбе. А закрепив побеги на опоре, ею можно украсить перголы, ограждения, веранды и беседки.</t>
  </si>
  <si>
    <t>4627194619960</t>
  </si>
  <si>
    <t>Ц Настурция Глим Салмон 0,5 гр. (Сотка)</t>
  </si>
  <si>
    <t>Изящный быстрорастущий летник для использования в качестве ампельного или почвопокровного растение, а также для вертикально озеленения, закрепив побеги на опоре. Побеги стелющиеся, разветвленные, с изумрудно-зеленой листвой. Цветы оранжевые, махровые и полумахровые, крупные и ароматные. Цветение обильное и длительное.</t>
  </si>
  <si>
    <t>4627092106043</t>
  </si>
  <si>
    <t>Ц Немезия Триумф смесь 0,05 гр. (Сотка)</t>
  </si>
  <si>
    <t>Превосходная смесь сортов с яркими цветочками разнообразной окраски: пурпурной, оранжевой, желтой, розовой, красной и пестрой. Компактный ветвящийся кустик утопает в огромном количестве цветочков неправильной формы, собранных в рыхлые соцветия. Используется на клумбах, бордюрах и рабатках, для оформления балконов и окон. Цветет обильно с июня по август.</t>
  </si>
  <si>
    <t>4627163250781</t>
  </si>
  <si>
    <t>Ц Петуния Мерлин Блю 10 шт. (Сотка)</t>
  </si>
  <si>
    <t>Идеальная серия для контейнерного выращивания. Растения высокоустойчивы к неблагоприятным погодным условиям, очень однородны, не полегают и сохраняют компактность на протяжении всего сезона. Многочисленные цветочки яркого сине-фиолетового цвета быстро восстанавливаются после дождя и ветра. Гибриды Мерлин невероятно обильно цветут до заморозков, прекрасно подходят для украшения различных цветников.</t>
  </si>
  <si>
    <t>4627163250866</t>
  </si>
  <si>
    <t>Ц Петуния Мерлин Вайт 10 шт. (Сотка)</t>
  </si>
  <si>
    <t>Идеальная серия для контейнерного выращивания. Растения высокоустойчивы к неблагоприятным погодным условиям, очень однородны, не полегают и сохраняют компактность на протяжении всего сезона. Многочисленные белоснежные цветочки быстро восстанавливаются после дождя и ветра. Гибриды Мерлин невероятно обильно цветут до заморозков, прекрасно подходят для украшения клумб, рабаток и бордюров.</t>
  </si>
  <si>
    <t>4627163250934</t>
  </si>
  <si>
    <t>Ц Петуния Мерлин Маджента 10 шт. (Сотка)</t>
  </si>
  <si>
    <t>Идеальная серия для контейнерного выращивания. Растения высокоустойчивы к неблагоприятным погодным условиям, очень однородны, не полегают и сохраняют компактность на протяжении всего сезона. Многочисленные воронковидные цветы сочного пурпурного цвета быстро восстанавливаются после дождя и ветра. Гибриды Мерлин невероятно обильно цветут до заморозков, прекрасно подходят для украшения цветников.</t>
  </si>
  <si>
    <t>4620765589723</t>
  </si>
  <si>
    <t>Ц Петуния Прага Пуваб 10 шт. (Сотка)</t>
  </si>
  <si>
    <t>Гибриды серии «Прага» отлично растут не только в теплые солнечные дни, но и дают хороший результат при холодной дождливой погоде. Сильно ветвящееся от основания растение усыпано крупными воронковидными цветами белого цвета. Превосходное украшение клумб, рабаток, бордюров, отлично смотрится в вазонах, кашпо, балконных и оконных ящиках. Цветет обильно до глубоких заморозков.</t>
  </si>
  <si>
    <t>4620765589730</t>
  </si>
  <si>
    <t>Ц Петуния Прага Тоуга 10 шт. (Сотка)</t>
  </si>
  <si>
    <t>Петунии серии «Прага» устойчивы к неблагоприятным погодным условиям, отлично растут не только в теплые солнечные дни, но дают хороший результат и при холодной дождливой погоде. Растение высотой 40-45 см, хорошо ветвится. Цветы крупные, воронковидные, красивого темно-пурпурно-красного цвета. Превосходное украшение клумб, рабаток, бордюров, отлично смотрится в вазонах, кашпо, балконных и оконных ящиках. Цветет обильно до глубоких заморозков.</t>
  </si>
  <si>
    <t>4627132131165</t>
  </si>
  <si>
    <t>Ц Петуния Тандем Суперкаскад Ред энд уайт 10 шт. (Сотка)</t>
  </si>
  <si>
    <t>Невероятно красивые и изящные петунии. Растения компактные, густоветвящиеся, с каскадами ярко-красных и белоснежных цветов на многочисленных поникающих побегах. Гигантские цветки раскрываются один за другим без перерыва с июля по октябрь, привлекают внимание и дарят положительные эмоции. Суперкаскадные петунии прекрасно подходят для создания ковровых клумб, великолепны в подвесных кашпо, вазонах и ящиках.</t>
  </si>
  <si>
    <t>4620765588870</t>
  </si>
  <si>
    <t>Ц Петуния Эс Райдер Ред 10 шт. (Сотка)</t>
  </si>
  <si>
    <t>Петунии серии Эс Райдер высокоустойчивы к болезням, очень холодостойкие, пышно цветут до глубоких заморозков, быстро восстанавливаются после дождя и ветра, подходят для загущенных посадок. Кустик шаровидный, компактный. Побеги крепкие, не вытягиваются и не нуждаются в прищипке. Крупные красные цветы придают особое очарование различным цветникам и контейнерам.</t>
  </si>
  <si>
    <t>4620765589037</t>
  </si>
  <si>
    <t>Ц Петуния Эс Райдер Уайт 10 шт. (Сотка)</t>
  </si>
  <si>
    <t>Петунии серии Эс Райдер отличаются высокой степенью устойчивости к болезням, благодаря чему прекрасно подходят для загущенных посадок. Растение очень холодостойкое, быстро восстанавливается после дождя и ветра, пышно цветет до глубоких заморозков. Кустик шаровидной формы, диаметром 20-30 см, компактный. Побеги крепкие, не вытягиваются и не нуждаются в прищипке для лучшего кущения. Очень крупные цветы белого цвета придают особое, неповторимое очарование цветникам, бордюрам, вазонам, кашпо и балконным ящикам. Возможно использование в качестве горшечного растения для украшения помещений.</t>
  </si>
  <si>
    <t>4627163252747</t>
  </si>
  <si>
    <t>Ц Смесь Сухоцветов 0,3 гр. (Сотка)</t>
  </si>
  <si>
    <t>Смесь наиболее популярных и неприхотливых растений-иммортелей для создания оригинальных цветочных композиций. Все сухоцветы данной смеси прекрасно сохраняют изначальную форму и цвет, отлично подходят не только для срезки в букеты, но и украшения цветников.</t>
  </si>
  <si>
    <t>4627194618451</t>
  </si>
  <si>
    <t>Ц Эустома АВС Лавандовая 5 шт. (Сотка)</t>
  </si>
  <si>
    <t>Необычайно красивое растение для сезонного выращивания в саду и круглогодичного в оранжереях. Цветет обильно и длительно. Куст прямостоячий, с крепкими высокими цветоносами, каждый из которых несёт множество бутонов. Нежно-лавандовые махровые цветы, по форме очень напоминающие розочки, создают атмосферу праздника и дарят массу положительных эмоций. Одно из лучших растений для производства срезанных цветов!</t>
  </si>
  <si>
    <t>4607082863811</t>
  </si>
  <si>
    <t>Огурец Азбука F1 (Манул)</t>
  </si>
  <si>
    <t>Манул</t>
  </si>
  <si>
    <t>Пчелоопыляемый, салатный, консервный, засолочный. В плодоношение вступает на 40 день после полных всходов. Растение индетерминантное, средневетвистое, женского типа цветения, число женских цветков в узле 3 и более. Лист среднего размера, темно-зеленый. Зеленец короткий, овальный, ребристый, зеленый с полосами средней длины, крупнобугорчатый, опушение черное, средней плотности. Масса 102 г. Вкус отличный.</t>
  </si>
  <si>
    <t>4607082863828</t>
  </si>
  <si>
    <t>Огурец Алфавит F1 12шт. (Манул)</t>
  </si>
  <si>
    <t>Партенокарпический, универсального назначения. В плодоношение вступает на 39-40 день после полных всходов. Растение индетерминантное, слабоветвистое, женского типа цветения. Лист мелкий, темно-зеленый. Зеленец короткий, цилиндрический, зеленый с полосами средней длины, мелкобугорчатый, опушение белое, средней плотности. Масса плода 80-130 г. Вкус отличный.</t>
  </si>
  <si>
    <t>4607082863835</t>
  </si>
  <si>
    <t>Огурец Амур F1 (Манул)</t>
  </si>
  <si>
    <t>Гибрид холодостойкий. Обладает устойчивостью к распространенным болезням огурца, среди которых оливковая пятнистость (кладоспориоз), вирус обыкновенной мозаики огурца, корневая гниль, мучнистая роса и ложная мучнистая роса. Сорт салатный, но подойдет и для консервирования.</t>
  </si>
  <si>
    <t>4607082863842</t>
  </si>
  <si>
    <t>Огурец Анюта F1 10 шт. (Манул)</t>
  </si>
  <si>
    <t>Партенокарпический, салатный. В плодоношение вступает на 38-40 день после полных всходов. Растение индетерминантное, сильнорослое, средневетвистое, женского типа цветения, с пучковым Зеленец веретеновидной формы, темно-зеленый, бугорки среднего размера, частые, опушение белое. Масса зеленца 100-120 г, длина 9-12 см, диаметр 3,2-3,6 см. Вкусовые качества хорошие.</t>
  </si>
  <si>
    <t>4607082864788</t>
  </si>
  <si>
    <t>Огурец Арина F1 12шт. (Манул)</t>
  </si>
  <si>
    <t>Высокоурожайный партенокарпический гибрид женского типа цветения. Характеризуется сильным ростом, холодостойкостью, хорошим отрастанием боковых побегов в условиях недостаточной освещенности. В узлах формируется по 1-2 завязи. Зеленцы красивой ярко-зеленой окраски с глянцевой поверхностью, крупнобугорчатые, белошипые, со средней частотой расположения бугорков, длиной 15-17 см. Вкусовые качества высокие.</t>
  </si>
  <si>
    <t>4607082864450</t>
  </si>
  <si>
    <t>Огурец Артель F1 (Манул)</t>
  </si>
  <si>
    <t>Скороспелый партенокарпический детерминантный одностебельный гибрид для весенне-летнего оборота. Растения женского типа цветения, вступают в плодоношение на 40-42 день от всходов.  У растений выражена тенденция к детерминантному типу роста.Характерно наличие длинных продольных светлых полосок.</t>
  </si>
  <si>
    <t>4607082864856</t>
  </si>
  <si>
    <t>Огурец Базар F1 (Манул)</t>
  </si>
  <si>
    <t>Гладкоплодный партенокарпический гибрид женского типа цветения для весенних теплиц, тоннелей, открытого грунта. Ветвление среднее. В узлах формируется по 1-2 завязи. Зеленцы овально-цилиндрической формы, интенсивно-зеленой окраски, с глянцевой поверхностью, длиной 9,5-11 см, диаметром 3,0-3,5 см. Вкусовые качества зеленцов высокие.</t>
  </si>
  <si>
    <t>4607082865082</t>
  </si>
  <si>
    <t>Огурец Бакинский сюрприз F1 10 шт. (Манул)</t>
  </si>
  <si>
    <t>Партенокарпический скороспелый пучковый корнишон женского типа цветения, который обеспечивает одновременный налив большого количества зеленцов. Предназначен для выращивания в открытом грунте, в весенних обогреваемых и необогреваемых теплицах, а также подойдет для выращивания на балконе и лоджии (в местах с ограниченным пространством). Растение компактное c мелкими листьями, короткими междоузлиями и активным ветвлением. В каждом узле формируется от 2-3 до 6-10 завязей. Плодоношение наступает на 38-40-й день от всходов. Зеленцы гладкоплодные, некрупные, но не толстые, длиной 9-12 см, с высокими вкусовыми качествами.</t>
  </si>
  <si>
    <t>4607082863781</t>
  </si>
  <si>
    <t>Огурец Балаган F1 12шт.  (Манул)</t>
  </si>
  <si>
    <t>Гибрид раннеспелый, партенокарпический, салатный, консервный. Растение индетерминантное, среднерослое, слабоветвистое, преимущественно женского типа цветения.Зеленец короткий, веретеновидный, ребристый, зеленый с полосами средней длины, бугорки среднего размера, опушение белое, средней плотности. Масса зеленца 80-90 г. Вкус отличный.</t>
  </si>
  <si>
    <t>4607082863859</t>
  </si>
  <si>
    <t>Огурец Балалайка F1 12шт.  (Манул)</t>
  </si>
  <si>
    <t>Уникальный партенокарпический пучковый корнишонный гибрид для защищенного и открытого грунта, сочетающий в себе скороспелость, стабильно высокую урожайность (плодоносит в любых температурных условиях), ограниченное ветвление и красивые зеленцы, похожие на старинные русские огурцы. Растения преимущественно женского типа цветения.</t>
  </si>
  <si>
    <t>4607082863866</t>
  </si>
  <si>
    <t>Огурец Балконный F1 12шт. (Манул)</t>
  </si>
  <si>
    <t>Раннеспелый гибрид, партенокарпический, неприхотливый, женского или преимущественно женского типа цветения. Период от полных всходов до плодоношения составляет 40 — 42 дня. Растения компактные, открытые, средневетвистые, с укороченными междоузлиями. Огурцы овально-цилиндрические, среднебугорчатые, слаборебристые, короткие (6 – 10 см), массой 80 – 90 грамм.</t>
  </si>
  <si>
    <t>4607082864641</t>
  </si>
  <si>
    <t>Огурец Батончики F1 (Манул)</t>
  </si>
  <si>
    <t>Урожайный партенокарпический корнишон для весенних теплиц, парников, открытого грунта, балконов. Гибрид выделяется очень красивыми некрупными зеленцами высоких вкусовых качеств. Изумрудно-зеленые, не колючие огурчики длиной 8-12 см, массой 80-120 г, с негрубой кожицей</t>
  </si>
  <si>
    <t>4607082863880</t>
  </si>
  <si>
    <t>Огурец Богатырская сила F1 10 шт.  (Манул)*</t>
  </si>
  <si>
    <t>Скороспелый партенокарпический пучковый корнишонный гибрид. Растения женского типа цветения, светолюбивые, с хорошим ветвлением. В узлах формируется от 2-3 до 5-6 завязей. Зеленцы красивой ярко-зеленой окраски, длиной 9-12 см, бугорчатые, белошипые, с частым опушением; засолочные и вкусовые качества высокие.</t>
  </si>
  <si>
    <t>4607082864825</t>
  </si>
  <si>
    <t>Огурец Будь здоров 12 шт. (Манул)</t>
  </si>
  <si>
    <t>Партенокарпический урожайный мини-корнишон женского типа цветения. Зеленцы мелкие, длиной 6-9 см, овально-цилиндрической формы, плотные, крупнобугорчатые, белошипые, со средней частотой расположения бугорков, ярко-зеленой окраски без белесости, с глянцевой поверхностью, салатно-консервного назначения, перерастают слабо.</t>
  </si>
  <si>
    <t>4607082863897</t>
  </si>
  <si>
    <t>Огурец Букет F1 12 шт. (Манул)</t>
  </si>
  <si>
    <t>Скороспелый пучковый партенокарпический гибрид-спринтер корнишонного типа. Растение женского типа цветения. Светолюбивый сорт; ветвление практически отсутствует. Плоды белошипые, бугорчатые, ярко-зеленой окраски, длиной 9-12 см, частое опушение.</t>
  </si>
  <si>
    <t>4607082864566</t>
  </si>
  <si>
    <t>Огурец Бухара 12 шт. (Манул)</t>
  </si>
  <si>
    <t>Гладкоплодный партенокарпический гибрид женского типа цветения для весенних теплиц, тоннелей, открытого грунта. Ветвление ограничено — образуются детерминантные боковые побеги, которые при сильной нагрузке становятся букетными веточками. В узлах формируется от 1-2 до 3-4 завязей. Зеленцы овально-цилиндрической формы, интенсивно-зеленой окраски, с глянцевой поверхностью, длиной 11-14 см, диаметром 3,0-3,3 см. Вкусовые качества свежих зеленцов высокие. Гибрид жаростойкий, устойчив к оливковой пятнистости, вирусу обыкновенной огуречной мозаики, мучнистой росе, толерантен к ложной мучнистой росе.</t>
  </si>
  <si>
    <t>4607082864498</t>
  </si>
  <si>
    <t>Огурец Буян  F1 10 шт. (Манул) 212335627</t>
  </si>
  <si>
    <t>Скороспелый партенокарпический пучковый корнишонный гибрид женского типа цветения. В узлах формируется от 2-3 до 5-7 завязей. Зеленцы бугорчатые, белошипые, ярко-зеленой окраски, длиной 8-11 см.</t>
  </si>
  <si>
    <t>4607082864658</t>
  </si>
  <si>
    <t>Огурец Верные друзья F1 10 шт. (Манул) 212338780</t>
  </si>
  <si>
    <t>Раннеспелый пчёлоопыляемый гибрид для открытого грунта и пленочных укрытий. Период от всходов до начала плодоношения 37-39 дней. Растение индетерминантное, слаборослое, формирует в одном узле от 2 до 7 плодов. Плоды корнишонного типа, овально-цилиндрические, крупнобугорчатые, зеленые, длиной 8-10 см, опушение черное.</t>
  </si>
  <si>
    <t>4607082864474</t>
  </si>
  <si>
    <t>Огурец Вирента F1 12шт.(Ман)</t>
  </si>
  <si>
    <t>Партенокарпический высокоурожайный холодостойкий гибрид с длительным периодом плодоношения. Широко возделывается в весенних теплицах, тоннелях, а также в открытом грунте. Гибрид светолюбивый, с широкой адаптационной способностью.Зеленцы бугорчатые, белошипые, со средне-частым опушением, длиной 13-15 см, без горечи; засолочные и вкусовые качества очень высокие.</t>
  </si>
  <si>
    <t>4607082864511</t>
  </si>
  <si>
    <t>Огурец Волшебная флейта F1 (Манул)</t>
  </si>
  <si>
    <t>Скороспелый светолюбивый партенокарпический гибрид для теплиц и открытого грунта. Растения высокорослые, со средним ветвлением, женского или преимущественно женского типа цветения. В узлах формируется от 1-2 до 3-4 завязей. Зеленцы бугорчатые, белошипые, цилиндрической формы, длиной 11-15 см, диаметром 2,9-3,5 см, массой 90-130 г.</t>
  </si>
  <si>
    <t>4607082864467</t>
  </si>
  <si>
    <t>Огурец Времена года F1 (Манул)</t>
  </si>
  <si>
    <t>Скороспелый теневыносливый партенокарпический сильнорослый гибрид для выращивания в теплицах и открытом грунте на шпалере. Отличается активным плодоношением длительное время благодаря хорошему отрастанию боковых побегов. В узлах формируется от 1-2 до 3-4 завязей. Партенокарпия высокая. Зеленцы бугорчатые, белошипые, вкусные, красивые, длиной 14-16 см, очень вкусные.</t>
  </si>
  <si>
    <t>4607082864436</t>
  </si>
  <si>
    <t>Огурец Гепард F1 12 шт.(Ман)</t>
  </si>
  <si>
    <t>Скороспелый партенокарпический пучковый гибрид для весенних теплиц, тоннелей, открытого грунта. Плодоношение наступает на 37-38-й день от всходов; период плодоношения длительный.В узлах формируется от 1-2 до 3-4 завязей. Зеленцы бугорчатые, белошипые, интенсивной зеленой окраски с продольными светлыми полосами, длиной 11-13 см, с частым крупным опушением. Гибрид относительно холодостойкий.</t>
  </si>
  <si>
    <t>4607082863910</t>
  </si>
  <si>
    <t>Огурец Городской огурчик  F1 10 шт (Ман)*</t>
  </si>
  <si>
    <t>Городской огурчик – гибрид огурца раннего срока созревания, предназначенный для выращивания в домашних условиях – на балконах, подоконниках, верандах и лоджиях. Но также подойдет для открытого и защищенного грунта – в теплицах дает очень хорошие урожаи.</t>
  </si>
  <si>
    <t>4607082864313</t>
  </si>
  <si>
    <t>Огурец Данила F1 12шт. (Манул)</t>
  </si>
  <si>
    <t>урожайный партенокарпический гибрид женского типа цветения для тоннелей, весенних теплиц, открытого грунта, а также для летне-осеннего оборота. Выделяется интенсивным плодообразованием и одновременным наливом большого количества зеленцов на растении. Стартовая партенокарпия высокая. В узлах формируется по 2 завязи. В плодоношение вступает на 40-42день от всходов. Ветвление среднее. Зеленцы ровные, хорошо держат форму, темно-зеленой окраски, крупнобугорчатые, белошипые, с частым опушением, длиной 12-15 см;</t>
  </si>
  <si>
    <t>4607082863927</t>
  </si>
  <si>
    <t>Огурец Емеля F1 10 шт. (Ман.)  179443559</t>
  </si>
  <si>
    <t>Скороспелый урожайный партенокарпический гибрид женского или преимущественно женского типа цветения для весенних теплиц, тоннелей, открытого грунта. Растения сильнорослые, с укороченными междоузлиями; ветвление среднее или ниже среднего. Зеленцы интенсивно-зеленого цвета, крупнобугорчатые белошипые, овально-цилиндрической формы, длиной 13-15 см, очень высоких вкусовых качеств.</t>
  </si>
  <si>
    <t>4607082863934</t>
  </si>
  <si>
    <t>Огурец Ефрейтор (Манул)</t>
  </si>
  <si>
    <t>Высокоурожайный партенокарпический гибрид с одновременным наливом большого количества зеленцов на растении. Универсального типа.Зеленцы бугорчатые, белошипые, длиной 10-13 см, со средней частотой расположения бугорков, высоких вкусовых и засолочных качеств. Гибрид устойчив к мучнистой росе, оливковой пятнистости, вирусу обыкновенной огуречной мозаики, толерантен к ложной мучнистой росе, корневым гнилям.</t>
  </si>
  <si>
    <t>4607082864320</t>
  </si>
  <si>
    <t>Огурец Желудь F1 12шт. (Манул)</t>
  </si>
  <si>
    <t>Зеленцы крупнобугорчатые, белошипые, интенсивно-зеленой окраски, длиной 8-11 см; частота расположения бугорков средняя. Устойчив к оливковой пятнистости, вирусу обыкновенной огуречной мозаики, толерантен к мучнистой росе, ложной мучнистой росе.</t>
  </si>
  <si>
    <t>4607082863958</t>
  </si>
  <si>
    <t>Огурец Зеленая волна F1 12шт. (Манул)</t>
  </si>
  <si>
    <t>Партенокарпический высокоурожайный скороспелый пучковый корнишонный гибрид.Период плодоношения длительный. В узлах формируется от 2-3 до 5-7 завязей. Зеленцы ярко-зеленой окраски, бугорчатые, белошипые, длиной 9-12 см. Мякоть плотная, хрустящая, вкусовые и засолочные качества высокие. Теневынослив.</t>
  </si>
  <si>
    <t>4607082864634</t>
  </si>
  <si>
    <t>Огурец Зозуля F1 10 шт. (Манул)</t>
  </si>
  <si>
    <t>Скороспелый (40-45 дней от всходов до плодоношения) партенокарпический (не требует опыления) гибрид. Предназначен для выращивания в пленочных теплицах. Плоды цилиндрической формы, длиной 14-24 см, слабобугорчатые, белошипые, без горечи, массой 150-280 г.</t>
  </si>
  <si>
    <t>4607082864887</t>
  </si>
  <si>
    <t>Огурец Изумрудные птицы F1 (Манул)</t>
  </si>
  <si>
    <t>Партенокарпический скороспелый гибрид-аллигатор женского или преимущественно женского типа цветения для весенних теплиц и открытого грунта на шпалере. Растения сильнорослые, со слабым ветвлением. В узлах формируется по 1-2 завязи. Зеленцы со средне-частым опушением, не колючие, интенсивно-зеленой окраски, длиной 35-40 см. Зеленцы вкусны как в свежем, так и в малосольном виде. Гибрид обладает повышенной жаростойкостью, устойчив к оливковой пятнистости, вирусу обыкновенной огуречной мозаики, мучнистой росе, толерантен к ложной мучнистой росе.</t>
  </si>
  <si>
    <t>4607082863965</t>
  </si>
  <si>
    <t>Огурец Изумрудный город F1 12шт. (Манул)</t>
  </si>
  <si>
    <t>Очень скороспелый партенокарпический пучковый корнишонный гибрид женского типа цветения для защищенного и открытого грунта. Ветвление среднее. В узлах формируется от 2-3 до 5-6 завязей. Зеленцы бугорчатые, белошипые, длиной 9-12 см, диаметром 2,9-3,5 см, массой 90-110 гр., вкусные, хрустящие.</t>
  </si>
  <si>
    <t>4607082864337</t>
  </si>
  <si>
    <t>Огурец Капитан (Манул)</t>
  </si>
  <si>
    <t>Пчелоопыляемый урожайный пучковый гибрид женского типа цветения для выращивания в открытом грунте, весенних теплицах, тоннелях. Ветвление ограничено. Зеленцы крупнобугорчатые, белошипые, длиной 8-12 см, очень высоких засолочных качеств. В узлах формируется от 2-5 до 8-10 завязей.</t>
  </si>
  <si>
    <t>4607082864481</t>
  </si>
  <si>
    <t>Огурец Карапуз (Манул)</t>
  </si>
  <si>
    <t>Длительное плодоношение. Партенокарический урожайный пучковый мини-корнишон женского типа цветения, универсального назначения (открытый грунт, весенние теплицы, тоннели). Зеленцы бугорчатые, белошипые, со средним опушением, длиной 6-8,5 см, красивой зеленой окраски, плотные, с высокими консервными и очень высокими вкусовыми качествами, перерастают слабо. Ветвление хорошее. В узлах формируется от 1-2 до 4-5 завязей; образование и налив завязей последовательный. Гибрид выделяется длительным периодом плодоношения и высокой ремонтантностью — постоянным нарастанием побегов с активными завязями.</t>
  </si>
  <si>
    <t>4607082863767</t>
  </si>
  <si>
    <t>Огурец Карусель F1 12шт. (Манул)</t>
  </si>
  <si>
    <t>Скороспелый партенокарпический пучковый корнишонный гибрид женского или преимущественно женского.Предназначен для выращивания в весенне-летнем обороте в теплицах, тоннелях, открытом грунте.В узлах формируется от 2-3 до 4-6 завязей.</t>
  </si>
  <si>
    <t>4607082863972</t>
  </si>
  <si>
    <t>Огурец Козырная карта F1 12шт. (Манул)</t>
  </si>
  <si>
    <t>Скороспелый партенокарпический пучковый корнишонный гибрид женского типа цветения. Обладает интенсивной, дружной отдачей урожая. Зеленцы интенсивно-зеленой окраски, крупнобугорчатые, белошипые, длиной 10-12 см, с часто-средним расположением бугорков.В узлах формируется от 2-3 до 4-5 завязей.</t>
  </si>
  <si>
    <t>4607082864009</t>
  </si>
  <si>
    <t>Огурец Кузнечик F1 10шт.  (Манул) 212340643</t>
  </si>
  <si>
    <t>Скороспелый гибрид огурца.Предназначен для выращивания в открытом и закрытом грунте на садово-огородных участках,Период от всходов до первого сбора 38 – 39 дней. Растение сильнорослое, женского типа цветения, ветвление ограниченное, формирует в узлах пучки от 2 - 3 до 4 – 6 завязей. Зеленцы цилиндрические, крупнобугорчатые, белошипые, длиной 10-12 см, отличного вкуса.</t>
  </si>
  <si>
    <t>4607082863750</t>
  </si>
  <si>
    <t>Огурец Лабиринт F1 10 шт.  (Манул)</t>
  </si>
  <si>
    <t>Скороспелый партенокарпический пучковый корнишонный гибрид женского типа цветения. Плодоношение наступает на 38-40-й день от всходов. Ветвление среднее. В узлах формируется от 2 до 4-5 завязей. Зеленцы веретеновидно-цилиндрической формы, с продольными светлыми полосками, длиной 10-12 см, диаметром 3,1-3,6 см, массой 90-110 г.</t>
  </si>
  <si>
    <t>4607082864351</t>
  </si>
  <si>
    <t>Огурец Ладога F1 12шт.  (Манул)</t>
  </si>
  <si>
    <t>Среднеспелый пчелоопыляемый гибрид с сильным проявлением женского пола. Характеризуется интенсивным ростом, начиная с фазы рассады. Зеленцы бугорчатые белошипые, длиной 16-18 см, ярко-зеленой окраски с продольными светлыми полосами.</t>
  </si>
  <si>
    <t>4607082864726</t>
  </si>
  <si>
    <t>Огурец Лорд 15шт.(Ман)</t>
  </si>
  <si>
    <t xml:space="preserve"> Среднеспелый пчелоопыляемый гибрид. От полных всходов до созревания 45-50 дней. Растение среднерослое, среднеплетистое, смешанного типа цветения. Ценность гибрида: холодостойкий и устойчив к фитозаболеваниям, высокая урожайность в конце августа начале сентября в неблагоприятных для многих сортов условиях. Плоды цилиндрические, крупно-бугорчатые, ярко-зеленые, вкус без горечи, опушение белое. Длина плода 10-12 см, масса 85 гр.</t>
  </si>
  <si>
    <t>4607082864016</t>
  </si>
  <si>
    <t>Огурец Мазай F1 10 шт. (Манул) 212342042</t>
  </si>
  <si>
    <t>Очень скороспелый партенокарпический гибрид женского типа цветения с комплексной устойчивостью к болезням. Зеленцы бугорчатые, белошипые, со средним опушением, длиной 10-12 см; вкусовые и засолочные качества высокие.</t>
  </si>
  <si>
    <t>4607082864344</t>
  </si>
  <si>
    <t>Огурец Майский F1 12шт. (Манул)</t>
  </si>
  <si>
    <t>Популярный урожайный скороспелый пчелоопыляемый гибрид преимущественно женского типа цветения. Предназначен для выращивания в весенних теплицах и тоннелях, а южнее — и в открытом грунте. Неослабевающий спрос на этот гибрид обусловлен высокими товарными и вкусовыми качествами плодов.</t>
  </si>
  <si>
    <t>4607082864733</t>
  </si>
  <si>
    <t>Огурец Макар  F1 12 шт. (Манул)</t>
  </si>
  <si>
    <t>Высокопродуктивный партенокарпический гибрид женского или преимущественно женского типа цветения класса Зозуля для весенних теплиц и тоннелей.Зеленцы бугорчатые, белошипые, длиной 14-19 см, салатного назначения. Гибрид устойчив к вирусу обыкновенной огуречной мозаики, оливковой пятнистости, относительно – к корневым гнилям.</t>
  </si>
  <si>
    <t>4607082864429</t>
  </si>
  <si>
    <t>Огурец Манул F1 10 шт.  (Манул)</t>
  </si>
  <si>
    <t>Очень скороспелый партенокарпический пучковый корнишонный гибрид женского типа цветения для открытого грунта, весенних теплиц и тоннелей. Выделяется обилием зеленцов на плетях, массированной отдачей урожая. Ветвление среднее или выше среднего. В узлах формируется от 2-3 до 5-6 завязей. Зеленцы бугорчатые, белошипые, ярко-зеленые, длиной 8-10 см, с частым опушением; шипы «не колючие»!</t>
  </si>
  <si>
    <t>4607082864030</t>
  </si>
  <si>
    <t>Огурец Марьина Роща F1 12шт. (Манул) 182029674</t>
  </si>
  <si>
    <t>Высокопродуктивный скороспелый партенокарпический теневыносливый пучковый корнишонный гибрид женского типа цветения. Растения сильнорослые, с хорошим отрастанием боковых побегов, холодостойкие. В узлах формируется от 2-3 до 4-5 завязей. Зеленцы интенсивно-зеленой окраски, бугорчатые, белошипые, длиной 10-12 см, плотные, хрустящие, ароматные.</t>
  </si>
  <si>
    <t>4607082864054</t>
  </si>
  <si>
    <t>Огурец Матрешка F1 12шт.  (Манул)</t>
  </si>
  <si>
    <t>Скороспелый партенокарпический пучковый корнишонный гибрид женского типа цветения. Предназначен для выращивания в открытом и защищенном грунте. В узлах формируется от 2-3 до 7-8 завязей; налив зеленцов последовательный. Зеленцы бугорчатые, белошипые, овально-цилиндрической формы, со средним опушением, длиной 9-12 см, интенсивно-зеленого цвета со светлыми продольными полосами. Мякоть плотная, хрустящая, кожица прочная.</t>
  </si>
  <si>
    <t>4607082864078</t>
  </si>
  <si>
    <t>Огурец Мельница (Манул)</t>
  </si>
  <si>
    <t>Высокоурожайный партенокарпический гибрид. Отличается повышенной скороспелостью, более крупнобугорчатой поверхностью зеленцов, меньшей степенью их перерастания. Растения женского типа цветения, ветвление среднее. Зеленцы бугорчатые, белошипые, длиной 15-18 см. Гибрид устойчив к болезням огурцов.</t>
  </si>
  <si>
    <t>4607082864085</t>
  </si>
  <si>
    <t>Огурец Младший Лейтенант F1 10шт. (Манул)</t>
  </si>
  <si>
    <t>Выскоурожайный скороспелый партенокарпический пучковый корнишонный гибрид женского типа цветения. В узлах формируется от 2-3 до 5-7 и более завязей. Зеленцы ярко-зеленые, бугорчатые, белошипые, длиной 9-12 см, с хрустящей мякотью. Частота расположения бугорков средняя.</t>
  </si>
  <si>
    <t>4607082864092</t>
  </si>
  <si>
    <t>Огурец Муравей F1 10 шт. (Манул) 182029602</t>
  </si>
  <si>
    <t>Очень скороспелый партенокарпический пучковый корнишонный гибрид женского типа цветения для открытого грунта, теплиц, тоннелей. В плодоношение вступает на 37-38-й день от всходов.  Зеленцы крупнобугорчатые, белошипые, длиной 8-11 см, засолочные, вкусовые и консервные качества очень высокие.</t>
  </si>
  <si>
    <t>4607082864108</t>
  </si>
  <si>
    <t>Огурец Настоящий полковник F1 10шт.  (Манул)</t>
  </si>
  <si>
    <t>Скороспелый партенокарпический гибрид женского типа цветения. Зеленцы красивой ярко-зеленой окраски, бугорчатые, белошипые, длиной 12-15 см; бугорки крупные, частота расположения бугорков средняя. Вкусовые и засолочные качества высокие. Гибрид устойчив к оливковой пятнистости, вирусу обыкновенной огуречной мозаики, толерантен к мучнистой росе, корневым гнилям.</t>
  </si>
  <si>
    <t>4607082864115</t>
  </si>
  <si>
    <t>Огурец Охотный ряд (Манул)</t>
  </si>
  <si>
    <t>Очень скороспелый партенокарпический пучковый корнишонный гибрид для защищенного и открытого грунта.Растения женского типа цветения, ветвление ограничено (при высокой нагрузке плодами - до очень слабого). Зеленцы бугорчатые, белошипые, длиной 8-11 см, с редким расположением бугорков, вкусны как в свежем виде, так и в засолке и консервировании.</t>
  </si>
  <si>
    <t>4607082864122</t>
  </si>
  <si>
    <t>Огурец Первый класс 15 шт.(Манул)</t>
  </si>
  <si>
    <t>Партенокарпический урожайный пучковый корнишонный гибрид женского типа цветения. Предназначен для выращивания в тоннелях, весенних теплицах, открытом грунте. Характеризуется высокой скороспелостью, обильной массированной отдачей урожая. Ветвление ограничено. Зеленцы бугорчатые, белошипые, с редким опушением, длиной 7-11 см. В узлах образуется от 2-3 до 4-5 завязей. Плоды вкусны как в свежем виде, так и в консервировании и засоле.</t>
  </si>
  <si>
    <t>4607082864139</t>
  </si>
  <si>
    <t>Огурец Подмосковные вечера F1 10 шт.(Манул)</t>
  </si>
  <si>
    <t>Cкороспелый партенокарпический гибрид женского или преимущественно женского типа цветения с массированной отдачей урожая. Предназначен для выращивания в защищенном и открытом грунте. Гибрид устойчив к мучнистой росе, оливковой пятнистости, вирусу обыкновенной огуречной мозаики, толерантен к ложной мучнистой росе.</t>
  </si>
  <si>
    <t>4607082864597</t>
  </si>
  <si>
    <t>Огурец Поликарп F1 10 шт.(Манул)</t>
  </si>
  <si>
    <t>Классический скороспелый пучковый партенокарпик с комплексной устойчивостью к болезням, высокими вкусовыми и засолочными качествами. Ветвление ослаблено, что упрощает уход за растениями. Стартовая партенокарпия высокая.</t>
  </si>
  <si>
    <t>4607082864504</t>
  </si>
  <si>
    <t>Огурец Ранняя пташка 12 шт. (Манул)</t>
  </si>
  <si>
    <t>Ультраскороспелый партенокарпический пучковый корнишон для весенних теплиц и открытого грунта. Растения женского типа цветения с ограниченным ветвлением. В узлах формируется от 2-3 до 5-7 завязей. На боковых побегах пучковость выражена сильнее, чем на главном стебле. Стартовая партенокарпия высокая. Зеленцы бугорчатые, белошипые, ярко-зеленые, с глянцевой поверхностью, длиной 9-13 см, диаметром 3,1-4,0 см, массой 80-120 г., цилиндрической формы, без шейки, сочные, хрустящие, ароматные. Бугорки среднего размера, опушение частое. На зеленцах характерно наличие светлых продольных полос средней длины. Вкусовые и засолочные качества очень высокие. Большую (основную часть урожая) растения отдают за первый месяц плодоношения (гибрид-спринтер). Затем вторая волна плодоношения начинается с боковых побегов. Гибрид устойчив к оливковой пятнистости, обыкновенной огуречной мозаике, мучнистой росе, толерантен к ложной мучнистой росе.</t>
  </si>
  <si>
    <t>4607082865006</t>
  </si>
  <si>
    <t>Огурец Регина плюс 15 шт. (Манул)</t>
  </si>
  <si>
    <t>Высокопродуктивный партенокарпический гибрид-спринтер женского типа цветения для весенних теплиц, тоннелей, а также для открытого грунта. Выделяется высокой скороспелостью и дружным плодообразованием.Это существенно облегчает уход за растениями. Зеленцы бугорчатые, белошипые, овально-веретеновидной формы, длиной 14-16 см. Вкусовые и консервные качества высокие. Гибрид устойчив к мучнистой росе, оливковой пятнистости, вирусу обыкновенной огуречной мозаики, толерантен к ложной мучнистой росе.</t>
  </si>
  <si>
    <t>4607082864528</t>
  </si>
  <si>
    <t>Огурец Салтан  (Манул)</t>
  </si>
  <si>
    <t>Скороспелый, частично-партенокарпический пучковый корнишонный гибрид женского типа цветения. Холодостойкий, ветвление активное. Зеленцы крупнобугорчатые, белошипые, с частым опушением, длиной 9-11 см. Гибрид устойчив к болезням огурцов. Для получения более высокого урожая к F1 Салтан подсевают 10 % опылителя.</t>
  </si>
  <si>
    <t>4607082864146</t>
  </si>
  <si>
    <t>Огурец Секрет фирмы (Манул)</t>
  </si>
  <si>
    <t>Партенокарпический сильнорослый гибрид женского типа цветения с повышенной теневыносливостью. Ветвление среднее. В узлах формируется по 1-2 завязи. Зеленцы крупнобугорчатые, белошипые, длиной 12-14 см, диаметром 3,6-4,2 см, массой 110-120 г, с острым носиком, плотные, хрустящие, хорошо засаливаются.</t>
  </si>
  <si>
    <t>4607082864153</t>
  </si>
  <si>
    <t>Огурец Стрекоза F1 10 шт. (Манул)</t>
  </si>
  <si>
    <t>Партенокарпический высокоурожайный скороспелый пучковый корнишонный гибрид для открытого и защищенного грунта.саморегулирования ветвления), холодостойкость.Зеленцы крупнобугорчатые, белошипые, длиной 8-12 см, плотные, хрустящие; засолочные и вкусовые качества высокие. Гибрид устойчив к заболеваниям огурца.</t>
  </si>
  <si>
    <t>4607082864580</t>
  </si>
  <si>
    <t>Огурец Тачанка (Манул) НОВИНКА!</t>
  </si>
  <si>
    <t>Урожайный партенокарпический гибрид женского типа цветения для летне-осеннего и весенне-летнего оборотов. Растения сильнорослые, с активным ветвлением, в узлах формируется по 2 (реже по 1 или 3) крупных завязи. Зеленцы бугорчатые, белошипые, ярко-зеленой окраски с глянцем, длиной 15-17 см, с высокими вкусовыми качествами. Устойчив к мучнистой росе, оливковой пятнистости, вирусу обыкновенной огуречной мозаики, толерантен к ложной мучнистой росе.</t>
  </si>
  <si>
    <t>4607082864160</t>
  </si>
  <si>
    <t>Огурец Теремок (Манул)</t>
  </si>
  <si>
    <t>Высокоурожайный пчелоопыляемый пучковый гибрид корнишонного типа для открытого и защищенного грунта. Растения женского типа цветения, ветвление среднее или ниже среднего. Зеленцы бугорчатые, черношипые, длиной 8-12 см, очень высоких засолочных и вкусовых качеств. В узлах формируется от 3-4 до 6-9 завязей.</t>
  </si>
  <si>
    <t>4607082864177</t>
  </si>
  <si>
    <t>Огурец Три танкиста 10 шт.  (Манул)</t>
  </si>
  <si>
    <t>Высокопродуктивный скороспелый партенокарпический пучковый корнишонный гибрид для открытого грунта, весенних теплиц, тоннелей.Зеленцы бугорчатые, белошипые, с часто-средним опушением, ярко-зеленой окраски, длиной 9-12 см.</t>
  </si>
  <si>
    <t>4607082864535</t>
  </si>
  <si>
    <t>Огурец Фермер F1 12шт.  (Манул)</t>
  </si>
  <si>
    <t>Классический пчелоопыляемый гибрид преимущественно женского или женского типа цветения. Предназначен для открытого грунта, весенних теплиц, тоннелей.Зеленцы крупнобугорчатые, белошипые, длиной 10-12 см, плотные, хрустящие; засолочные и консервные качества очень высокие.</t>
  </si>
  <si>
    <t>4607082864573</t>
  </si>
  <si>
    <t>Огурец Фокус 12шт.  (Манул)</t>
  </si>
  <si>
    <t>Партенокарпический сильнорослый гибрид женского типа цветения. Предназначен для выращивания в весенних теплицах и открытом грунте, а также во втором обороте в обогреваемых теплицах  (июль – октябрь). Ветвление среднее. В узлах формируется по 1-3-4 завязи. Зеленцы крупнобугорчатые, белошипые, длиной 11-14 см, диаметром 3,2-4,0 см, массой 110-120 г. Частота расположения бугорков средняя. Вкусовые и засолочные качества высокие</t>
  </si>
  <si>
    <t>4607082864184</t>
  </si>
  <si>
    <t>Огурец Хит сезона F1 10шт. (Манул) 179441954</t>
  </si>
  <si>
    <t>Партенокарпический высокоурожайный скороспелый пучковый корнишонный гибрид универсального типа выращивания. В узлах формируется от 2-3 до 5-6 и более завязей. Зеленцы красивой ярко-зеленой окраски, белошипые, с плотной хрустящей мякотью, с часто-средним опушением, длиной 9-12 см.</t>
  </si>
  <si>
    <t>4607082864191</t>
  </si>
  <si>
    <t>Огурец Чистые пруды F1 10 шт.  (Манул)</t>
  </si>
  <si>
    <t>Высокоурожайный скороспелый партенокарпический пучковый корнишонный гибрид женского типа цветения. Сильный рост плети в сочетании с холодостойкостью и комплексной устойчивостью к болезням обусловливают длительное плодоношение до осенних заморозков. Теневынослив. Ветвление хорошее. В узлах формируется от 2-3 до 4-6 завязей. Зеленцы бугорчатые, белошипые, длиной 10-12 см, сочные, хрустящие.</t>
  </si>
  <si>
    <t>4607082863804</t>
  </si>
  <si>
    <t>Огурец Шмель F1 10 шт.  (Манул) 224098190</t>
  </si>
  <si>
    <t>Пчелоопыляемый гибрид-опылитель мужского типа цветения для всех пчелоопыляемых огурцов. Растения сильнорослые, с активным ветвлением. Зеленцы черношипые, длиной 10-13 см, бугорки средней величины, частота расположения бугорков средняя. Растения вступают в плодоношение на 41-45 день от всходов, цветение мужскими цветками начинается раньше. Период цветения мужскими цветками длительный.</t>
  </si>
  <si>
    <t>4607082865037</t>
  </si>
  <si>
    <t>Огурец Экспедиция F1 (Манул)</t>
  </si>
  <si>
    <t>Партенокарпический гибрид сортотипа ТСХА-442 для зимне-весеннего оборота. Растения чисто женского типа цветения, в каждом узле формируется по 2 завязи. Растения вегетативного типа развития, с активным ветвлением. Зеленцы бугорчатые, белошипые, длиной 17-23 см. Устойчив к оливковой пятнистости.</t>
  </si>
  <si>
    <t>4627102704085</t>
  </si>
  <si>
    <t>Томат Гном Балет Мелани 0,02г (Мяз) 299876776</t>
  </si>
  <si>
    <t>Куст Детерминантный, штамб до 1 метра. Среднеспелый 105-115 дней. Прямостоящий, лист морщинистый (как у большинства «Гномов»). Цветочная кисть простая, завязывается 5-9 плодов, иногда кисть двойная. Масса плодов 60-100 грамм. Плоды розовые сливовидные с приплюснутым носиком, очень плотные и мясистые, с мягким сладким вкусом, ароматные. Долго не перезревают, могут повисеть спелые на кусте, не трескаются. Томаты лежкие и транспортабельные. Урожайность сорта с 1 куста 4-7 кг. Отличный вариант для консервации и приготовления ароматных, насыщенных соусов. Устойчивость к основным болезням томата. Не требует пасынкования.</t>
  </si>
  <si>
    <t>4627102704092</t>
  </si>
  <si>
    <t>Томат Гном Бандаберг Рамболл 0,02г (Мяз)</t>
  </si>
  <si>
    <t>Детерминантный штамбовый куст от 60 см и выше метра при избыточной влажности и загущённости. Среднеранний. В норме созревает через 100-115 дней. Плоды имеют 2-3 камеры, красно-коричневые, с носиком массой от 60 до 120 г, толстые стенки перикарпия, вкусные, сладкие с насыщенным вкусом. Благодаря универсальности плоды пригодны для любых заготовок на зиму. Сорт устойчив к заболеваниям, с высокой завязываемостью в любую погоду. Посев в первой половине марта.</t>
  </si>
  <si>
    <t>4627102704122</t>
  </si>
  <si>
    <t>Томат Гном Большая Удача 0,02г (Мяз) 299850693</t>
  </si>
  <si>
    <t>Детерминантный штамбовый куст в норме около 70 см; выше метра при избыточной влажности и загущённости. Лист крупный, морщинистый, простой. Среднеспелый сорт, в норме созревает через 105-115 дней. Плоды плоскоокруглые, розово-красные, крупные, один в один, от 200 до 300 г. Плоды мясистые, сочные и очень вкусные в свежем виде. Благодаря универсальности плоды пригодны для любых заготовок на зиму. Сорт устойчив к заболеваниям, с высокой завязываемостью плодов. Посев на рассаду в первой половине марта. Вести куст в три стебля.</t>
  </si>
  <si>
    <t>4627102704153</t>
  </si>
  <si>
    <t>Томат Гном Вишневый Брауни 0,02г (Мяз) 300226014</t>
  </si>
  <si>
    <t>Индетерминантный сорт, с простым листом. Среднеранний, в норме созревает через 100-115 дней. Плоды глубокого коричнево-красного цвета, округлояйцевидной формы, в кисти по 5-6 плодов, приятно-сладкого вкуса. Хорошая завязываемость, урожайный. Плоды массой от 80 до 150 г, вкусные, сладкие с насыщенно-пряным вкусом. Благодаря универсальности плоды пригодны для любых заготовок на зиму. Сорт устойчив к заболеваниям, с хорошей завязываемостью.</t>
  </si>
  <si>
    <t>4627102704238</t>
  </si>
  <si>
    <t>Томат Гном Карликовый Перец Полосатый 0,02г (Мяз) 299906223</t>
  </si>
  <si>
    <t>Сорт среднеспелый, в норме созревает через 105-115 дней, растянутое плодоношение. Детерминантный компактный тип куста с крупным простым листом, высотой от 80 до 100 см с отличной завязываемостью плодов перцевидной формы, массой от 80-150 г, в свежем виде есть привкус сладости, хорош для любых заготовок на зиму, включая вяление и маринование. Сорт относительно устойчив к заболеваниям.</t>
  </si>
  <si>
    <t>4627102704252</t>
  </si>
  <si>
    <t>Томат Гном Королева Ночи 0,02г (Мяз) 299896483</t>
  </si>
  <si>
    <t>Среднеспелый сорт немецкой селекции, в норме созревает через 105-120 дней. Детерминантный штамбовый куст см 80 в о/г, в теплице около 130 см, хорошо вяжет. Лист простой, кусты усыпаны округлыми чёрными плодиками, которые вызревая краснеют в жёлтые штрихи и полоски с фиолетовыми мазками, массой 80-120 г. Мякоть вкусная, сочная, мясистая, на разрезе красно-малиновая. Благодаря универсальности плоды пригодны для любых заготовок на зиму. Сорт устойчив к заболеваниям, плодоносит до конца сезона.</t>
  </si>
  <si>
    <t>4627102704283</t>
  </si>
  <si>
    <t>Томат Гном Круглый Робин 0,02г (Мяз)</t>
  </si>
  <si>
    <t>Детерминантный штамбовый куст от 80 см и выше метра при избыточной влажности и загущённости. Среднеспелый, в норме созревает через 105-115 дней. Плоды имеют 2-3 камеры, красно-коричневые в полоску, массой от 50 до 100 г, толстые стенки перикарпия, вкусные, сладкие с насыщенным вкусом. Неплохо хранится. Благодаря универсальности плоды пригодны для любых заготовок на зиму. Сорт устойчив к заболеваниям, с высокой завязываемостью в любую погоду. Посев с конца февраля, если высадка на постоянное место в начале мая.</t>
  </si>
  <si>
    <t>4627102704290</t>
  </si>
  <si>
    <t>Томат Гном Любовь Одри 0,02г (Мяз) 299899852</t>
  </si>
  <si>
    <t>Детерминантный, в норме около 60 см. Лист простой, легко ухаживать, куст не зарастает длинными пасынками. Среднеспелый, в норме созревает через 105-110 дней. Усыпан плодами! Плоды сливовидные, коричнево-красные в штрихах и полосках, массой 80-100 г. Мякоть маслянистая, сочная, сладковатая, с кислинкой послевкусия. Благодаря универсальности плоды пригодны для любых заготовок на зиму. Сорт устойчив к заболеваниям, с высокой завязываемостью плодов.</t>
  </si>
  <si>
    <t>4627102704306</t>
  </si>
  <si>
    <t>Томат Гном Малиновая Нерка 0,02г (Мяз) 299835235</t>
  </si>
  <si>
    <t>Детерминантный штамбовый куст в норме около 70 см; выше метра при избыточной влажности и загущённости. Лист крупный, морщинистый, цельный. Среднеспелый, в норме созревает через 105-115 дней. Завязываемость отличная. Плоды крупные, плоскоокруглые, шоколадные с полосками, 200-300 г., не только красивые, но и мясистые, сочные, сладкие, с фруктовыми нотками. Очень вкусные салаты, соки, а так же любые заготовки на зиму.</t>
  </si>
  <si>
    <t>4627102704337</t>
  </si>
  <si>
    <t>Томат Гном Новый Большой Гном 0,02г (Мяз) 300209995</t>
  </si>
  <si>
    <t>Детерминантный штамбовый куст в норме около 70 см; выше метра при избыточной влажности и загущённости. Лист крупный, морщинистый, простой. Среднеспелый, в норме созревает через 105-115 дней. Завязываемость хорошая. Плоды крупные, плоскоокруглые, яркие, малинового цвета, 200-500 г, не только красивые, но и мясистые, сочные, сладкие, с фруктовыми нотками. Очень вкусные салаты, соки, а так же любые заготовки на зиму. Посев на рассаду в первой декаде марта. Вести куст в два стебля.</t>
  </si>
  <si>
    <t>4627102704405</t>
  </si>
  <si>
    <t>Томат Гном Специальный C-TCV 0,02г (Мяз) 299888497</t>
  </si>
  <si>
    <t>Сорт среднеспелый, в норме созревает через 105-115 дней, завязываемость отличная и урожайность высокая! Детерминантный куст высотой от 60 до 130 см, (о/г или теплица). Лист крупный, морщинистый, цельный. Плоды красные, массой 200-350 г. Вкус с легкой кислинкой и фруктовым оттенком, мякоть плотная. Очень вкусные салаты, соки, а так же вы любые заготовки на зиму. Посев на рассаду в первой декаде марта. Вести куст строго в два стебля для получения красивых, крупных, здоровых плодов!</t>
  </si>
  <si>
    <t>4627102702371</t>
  </si>
  <si>
    <t>Томат Гном Стринги 0,02 г (Мяз) 300233145</t>
  </si>
  <si>
    <t>110-120 дней от всходов до начала созревания. Стебель прочный, высотой в норме 1-1,2 м, компактный. Листья красивого темно-зеленого цвета, признак крепкого "здоровья" цельные, морщинистые. плод средней массой 180-250 до 300 г, плоскоокруглый, цвет плода очаровывает ещё в завязи своими многочисленными зелёными полосами (стрингами) и глубоким темно-коричневым цветом. Созревая, зелень меняется на пурпурный с красивым вишневым цветом на срезе. Для свежего потребления и любых заготовок</t>
  </si>
  <si>
    <t>4627102704559</t>
  </si>
  <si>
    <t>Томат Гном Тануда Красная 0,02г (Мяз) 299857374</t>
  </si>
  <si>
    <t>Сорт среднеспелый, в норме созревает через 105-115 дней. Детерминантный куст высотой около 1м. Лист крупный, морщинистый, простой, завязываемость хорошая. Два/три стебля дадут вам хороший урожай и плоды массой по 200-300 г, цвет кожицы красный. Вкус порадует маслянистой мякотью, приятной сладостью и ароматом. Очень вкусные салаты, соки, а так же любые заготовки на зиму. Посев на рассаду в первой декаде марта. Вести куст строго в два стебля для получения красивых крупных плодов.</t>
  </si>
  <si>
    <t>4627102704436</t>
  </si>
  <si>
    <t>Томат Гном Укус Змеи 0,02г (Мяз) 300231526</t>
  </si>
  <si>
    <t>Сорт среднеспелый, в норме созревает через 105-115 дней, завязываемость высокая, отсюда отличная урожайность! Детерминантный куст высотой от 60 до 130 см, (о/г или теплица). Лист крупный, морщинистый, простой. Плоды массой 200-400 г, цвет кожицы малиновый, мякоть плотная, ароматная. Очень вкусные салаты, соки, а так же любые заготовки на зиму.</t>
  </si>
  <si>
    <t>4627102704467</t>
  </si>
  <si>
    <t>Томат Гном Хоскинс Баргер 0,02г (Мяз) 300228757</t>
  </si>
  <si>
    <t>Сорт среднеспелый, созревает через 105-115 дней. Детерминантный штамбовый куст около 70 см, при высокой влажности в теплице выше. Лист крупный, морщинистый, простой. Завязываемость отличная. Плоды красивые, крупные, плоскоокруглые, яркие, малинового цвета, 150-250 г, мясистые, сочные, сладкие. Очень вкусные салаты, соки, подходят мариновать, а так же использовать в любые заготовки на зиму. Посев на рассаду в первой декаде марта. Вести куст в три стебля, между кустами оставлять не менее 50 см.</t>
  </si>
  <si>
    <t>4627102704481</t>
  </si>
  <si>
    <t>Томат Гном Шоколадная Молния 0,02г (Мяз) 299840526</t>
  </si>
  <si>
    <t>Сорт среднеспелый, в норме созревает через 105-115 дней, завязываемость высокая, отсюда урожайность! Детерминантный куст высотой  от 100 до 130 см. Лист крупный, морщинистый, простой. Незрелые плоды в штрихах и полосках, у зрелых - кожица красного цвета в жёлто-зелёную полоску, массой 200-300 г, мякоть плотная, сладковатая, ароматная. Очень вкусные салаты, соки, а так же любые заготовки на зиму. Посев на рассаду в первой декаде марта. Вести куст строго в два стебля для получения красивых крупных плодов.</t>
  </si>
  <si>
    <t>4627102702517</t>
  </si>
  <si>
    <t>Томат Минусинские Стаканы 0,02г (Мяз) 301164172</t>
  </si>
  <si>
    <t>Растение высокое, среднеоблиственное, раннего срока созревания. Плод удлиненный крупный, скорее перцевидный, зрелый-розового цвета, средней плотности, массой около 200 г, мясистый, сладкий, без трещин. Любимый дачниками сорт за универсальность использования урожая: вкусный в свежем виде, пригодный для консервирования, густой сок, отлично вялится, неплохо хранится.</t>
  </si>
  <si>
    <t>4627102703989</t>
  </si>
  <si>
    <t>Томат Минусинские Шары 0,02г (Мяз) 301124085</t>
  </si>
  <si>
    <t>Любителям крупных томатов из легендарной серии, для пополнения своей коллекции. Куст индетерминантный, открытый, лист светлый, может скручиваться- это сортовая особенность. Формировать в два стебля, пасынковать вовремя. Регулярные подкормки микроэлементами как любому крупноплодному сорту очень важны. Плоды огромные, массой около 500 г, малиново-красные, плотные. Вкусные свежими, полностью вызревшие дают высокий выход сока с мякотью и выручат вас в любых заготовках на зиму.</t>
  </si>
  <si>
    <t>4627102704566</t>
  </si>
  <si>
    <t>Томат Минусинский Биколор 0,02г (Мяз)</t>
  </si>
  <si>
    <t>Замечательный сорт, украшение теплицы, с отличными потребительскими свойствами. Индетерминантный, среднеранний сорт, среднеоблиственный куст, советую вести в два стебля, обрезать верхушку в августе. Плод плоскоокруглый, двуцветный. На жёлто-оранжевом фоне красные полоски. Сочная плотная мякоть, пир для души, сладкий, ароматный, настоящий праздник поедания, приглашайте друзей! Для свежего потребления, приготовления соков, соусов и других заготовок на зиму. На рассаду сеять во второй декаде марта, t проращивания 27-29*С.</t>
  </si>
  <si>
    <t>4627102702326</t>
  </si>
  <si>
    <t>Томат Минусинский Бочковой 5 шт. (Мяз) 301135592</t>
  </si>
  <si>
    <t>Куст высотой 1,6-1,8 м, формировать в 1-2 стебля. В кисти 3-5 плодов, 5-7 кистей на стебле. Плоды массой 250-350 г, кожица красная, мякоть плотная, на разломе сахаристая, малосемянная. Вкус приятный, сладкий, есть аромат. Плоды универсальные, пригодны для любых заготовок на зиму.</t>
  </si>
  <si>
    <t>4627102702746</t>
  </si>
  <si>
    <t>Томат Минусинский Домашний 0,02 гр. (Мяз) 301060499</t>
  </si>
  <si>
    <t>Куст высотой 1,6-1,8 м, формировать в 1-2 стебля. В кисти 3-7 плодов , 5-7 кистей на одном стебле. Плод малиновый, почковидно-сердцевидный, массой 350-500 г. Сахаристая мякоть разрастается на весь плод, малосемянный. Вкус сладкий с характерным ароматом и приятным послевкусием. Плоды универсальные, пригодны для любых заготовок на зиму. Не загущайте, пасынкуйте вовремя. В затяжную холодную дождливую погоду навяжет меньше, но удовольствие от вкуса плодов стоит ваших забот.</t>
  </si>
  <si>
    <t>4627102703767</t>
  </si>
  <si>
    <t>Томат Минусинский Лев 0,02 гр. (Мяз) 301153416</t>
  </si>
  <si>
    <t>Куст полудетерминантный, формируйте в 2 стебля, со сложными кистями, один в один с розовыми, плоскоокруглыми, слегка ребристыми плодами, массой 200-350 г, с плотной мякотью, отличного вкуса. Сорт универсального использования, например, чудесные соки, соусы.</t>
  </si>
  <si>
    <t>4627102702685</t>
  </si>
  <si>
    <t>Томат Минусинский Яблочный 0,02 гр. (Мяз) 301094890</t>
  </si>
  <si>
    <t>Индетерминантный, среднеспелый, крупноплодный. очень урожайный сорт для теплиц, родом из легендарной Минусинской впадины. Крепкий куст, пасынковать, формировать в один стебель. Плоды крупные до верху, плодоносит до заморозков. Незрелые плоды с тёмно-зелёным пятном и стекающими вниз зелёными полосками, зрелые- малиново-красные, плоскоокруглой формы, массой 250-350 г, мякоть на разломе с крупинками, арбузно — сахарная, невозможно вкусные.</t>
  </si>
  <si>
    <t>4627102702586</t>
  </si>
  <si>
    <t>Томат Сержант Пеппер 0,03г (Мяз) 301189410</t>
  </si>
  <si>
    <t>Сорт индетерминантный среднеранний для теплиц и открытого грунта на юге. Требует подвязки и пасынкования, каждая клеточка растения наполнена антоцианами, что обеспечивает ему отличный иммунитет. Хорошо вяжет плоды на перепадах температур. Кисти сложные, по 8-10 плодов. Плодоносит с конца июля до заморозков, не теряет своих пищевых качеств при дозаривании и просто хранении. Плоды сердцевидные, 150-300 г насыщенно красные, с тёмно-фиолетовым пятном, мякоть плотная, малиновая с ароматом и очень гармоничным сладким вкусом. Чем больше тепла достанется плодам, тем больше раскроется их вкус. Для свежих салатов и всех видов заготовок на зиму.</t>
  </si>
  <si>
    <t>4620054282465</t>
  </si>
  <si>
    <t>Огурец Уран F1 5 шт. (Партнер) 221945959</t>
  </si>
  <si>
    <t>Партнер</t>
  </si>
  <si>
    <t>Гибрид раннеспелый, партенокарпический. От всходов до начала плодоношения 38-40 дней. Растение средневитвистое, с букетным типом образования плодов, 3-4 завязи в пазухе листа. Зеленцы цилиндрической формы, длиной 9-12см, толщиной 2,2-2,5см, массой 60-80 г, темно-зелёные с сизым налетом, белошипые, частобугорчатые,  Плоды генетически без горечи, плотной консистенции, без пустот, хрустящие, вкусовые качества отличные.</t>
  </si>
  <si>
    <t>4620054282014</t>
  </si>
  <si>
    <t>Огурец Фуро F1 5 шт. (Партнер) 221943293</t>
  </si>
  <si>
    <t>Гибрид раннеспелый, партенокарпический. От всходов до начала плодоношения 37-39 дней.Обильная отдача урожая в течении двух месяцев выращивания. Плоды однородные, темно-зеленого цвета, без полос, хорошо ошипованные длиной 10 - 12 см.</t>
  </si>
  <si>
    <t>4600707501082</t>
  </si>
  <si>
    <t>Перец Халиф 5 шт. (Партнер) 181001800</t>
  </si>
  <si>
    <t>Перец сладкий очень ранний гибрид. Период созревания 100-105 дней, кубовидной формы, в технической зрелости плоды имеют молочно-белый цвет, в биологической-красный. Массой 180-210 гр, длиной 10-12 см, толщина стенки7-9 мм</t>
  </si>
  <si>
    <t>4620054285299</t>
  </si>
  <si>
    <t>Томат Артистка F1 0,05 гр (Партнер) 181001804</t>
  </si>
  <si>
    <t>Раннеспелый детерминантный гибрид для открытого и защищенного грунта. От всходов до начала плодоношения проходит около 100 дней. Растение слаборослое, среднеоблиственное, высотой 70-90 см. Первое соцветие закладывается над 7 листом, последующие – через каждые 1-2 листа. Кисти простые, с 5-6 плодами средней массой 120-150 г. Томаты красивой округлой формы с «носиком», выравненные по форме и размеру, плотные, золотистого цвета, мясистые, с тонкой, но плотной кожицей. Обладают превосходным вкусом и ароматом.</t>
  </si>
  <si>
    <t>4600707505172</t>
  </si>
  <si>
    <t>Томат Атомный Бреда 0,05гр (Партнер)</t>
  </si>
  <si>
    <t>Среднеранний индетерминантный сорт томата с необыкновенно красивыми плодами! С момента полных всходов до начала созревания проходит 100-110 дней. Первое соцветие закладывается над 8-9 листом, последующие – через 1-2 листа. Кисти простые и полусложные, содержат в себе по 10-20 томатов. Плоды сливовидные, красно-коричневого цвета с размытыми зеленоватыми полосами и фиолетовым напылением. Масса плодов около 40-60 г. Томаты имеют очень приятный фруктовый вкус, сладкие, кислинка практически отсутствует. Плоды с куста не опадают, не трескаются, после сбора способны храниться до 2 недель без потери вкусовых и товарных качеств.</t>
  </si>
  <si>
    <t>4620054285596</t>
  </si>
  <si>
    <t>Томат Банановые ноги 10 шт. (Партнер) 181001801</t>
  </si>
  <si>
    <t>Сорт ультраранний, полудетерминантный. От всходов до сбора первого урожая 90-96 дней. Первое соцветие закладывается над 9-11 листом, последующие через 2-3. Окраска плодов насыщенного желто-оранжевого цвета с желтыми полосками, в которых заметны вкрапления розового цвета. Плоды средней массой 80г, двухкамерные, цилиндрической формы с бугорчатой поверхностью и сильно оттянутым тонким острым носиком, склоненнным в сторону. Вкус плодов очень хороший. Мякоть тает во рту, семенные камеры небольшие. Сорт универсальный и хорошо подходит для приготовления самых разнообразных блюд, консервации и приготовления необычного по цвету томатного сока. Устойчив к основным заболеваниям томатов. Урожайность около 5кг с одного растения. Сорт взят из коллекции Татьяны Витальевны Щедриной "Урожайный Огород".</t>
  </si>
  <si>
    <t>4620054283097</t>
  </si>
  <si>
    <t>Томат Каменный цветок черри F1 5 шт. (Партнер)  173822354</t>
  </si>
  <si>
    <t>Удивительное растение. Отлично растёт и плодоносит в комнатных условиях, на грядках, в декоративных посадках и защищённом грунте. Растение детерминантное, штамбовое, плотное. Кусты высотой и диаметром 30-35см, что позволяет выращивать в загущенных посадках 7-8 растений/м2. Плоды одномерные, массой 10-12 г. Плоды округлой формы, 2-х камерные, одномерные, образуют плотную кисть насыщенно красного цвета с красивым блеском. Гибрид обладает превосходными вкусовыми качествами.</t>
  </si>
  <si>
    <t>4600707504359</t>
  </si>
  <si>
    <t>Томат Красная стрела+ F1  0,05 гр. (Партнер)</t>
  </si>
  <si>
    <t>Раннеспелый детерминантный гибрид. В плодоношение вступает на 95-100 день от всходов. Растение высотой около 120 см, слабооблиственное.  В простых компактных кистях формируется 7-9 округлых гладких плодов красного цвета, массой 100-180 г. Томаты плотные, мясистые, очень вкусные,</t>
  </si>
  <si>
    <t>4620054284926</t>
  </si>
  <si>
    <t>Томат Куртизанка 0,05 гр. (Партнер) 181001790</t>
  </si>
  <si>
    <t>Высокоурожайный раннеспелый детерминантный гибрид. С момента полных всходов до первого сбора плодов проходит 90-95 дней. Растение слабооблиственное, высотой 50-70 см. Первое соцветие закладывается над 6-7 листом, последующие — через 1 лист. В каждой кисти завязывается по 6-10 очень красивых, выравненных, высокотоварных плодов. Томаты насыщенно-красного цвета, массой 90-110 г, округлой формы, с небольшим носиком. Плоды очень вкусные, ароматные, с легкой приятной кислинкой. Томаты подходят для свежего потребления и консервирования. Урожайность в открытом грунте — от 14,0 кг/м2, в защищенном — до 20,0-22,0 кг/м2.</t>
  </si>
  <si>
    <t>4620054281123</t>
  </si>
  <si>
    <t>Томат Мадам Помпадур F1 10 шт. (Партнер) 303161351</t>
  </si>
  <si>
    <t>Очень урожайный скороспелый гибрид томата для открытого и защищенного грунта. Растение детерминантное, высотой 80-100 см. В плодоношение вступает на 85-90 день с момента всходов. Первое соцветие закладывается над 6 листом, последующие через 1-2 листа. В простых кистях формируются 5-6 плотных, ярко-красных, округлых плодов, массой 180-220 г каждый. Томаты имеют прочную кожицу, что сказывается на хорошей транспортабельности. Мякоть плодов очень сочная, приятная на вкус, с легкой кислинкой. Томаты хороши в свежих салатах, а также используются для изготовления соков, соусов и паст. Гибрид устойчив к вирусу томатной мозаики, бурой пятнистости, толерантен к фитофторозу; прекрасно выдерживает перепады температур.</t>
  </si>
  <si>
    <t>4620054280706</t>
  </si>
  <si>
    <t>Томат Пикадор F1 0,05 гр. (Партнер) 303168643</t>
  </si>
  <si>
    <t>Раннеспелый детерминантный гибрид высотой до 1 м. От всходов до начала плодоношения 95-100 дней. Первое соцветие закладывается над 7-8 листом, последующие через 1-2 листа. Кисти простые с 3-5 округлыми глянцевыми плодами насыщенного красного цвета с красивым носиком. Вес плодов около 150 г. Стенки плотные, семенных камер 4. Вкусовые качества плодов очень высокие. Мякоть плотная, приятной консистенции, с легкой кислинкой.</t>
  </si>
  <si>
    <t>4600707501679</t>
  </si>
  <si>
    <t>Томат Сокровище Инков F1 10 шт. (Партнер) 181001794</t>
  </si>
  <si>
    <t>Гибрид раннеспелый, индетерминантный. От полных всходов до созревания 90-95 дней. Плоды очень красивые, (особенно в разрезе!) крупные более 250г.</t>
  </si>
  <si>
    <t>4620054283110</t>
  </si>
  <si>
    <t>Томат Софа F1 0,05 гр. (Партнер)</t>
  </si>
  <si>
    <t>Гибрид ультраранний, детерминантный, высотой до 1 м. Растения компактные, среднеоблиственные. От всходов до первого сбора урожая проходит 80-85 дней.  Первое соцветие закладывается над 6-7 листом, последующие — через 2. Соцветия простые и полусложные. В кистях, как правило, развивается около 5 крупных плодов. Плоды 3-4-камерные, мясистые, округлой формы. Томаты густо-красного цвета, очень красивые, кожица тонкая, прочная, блестящая.  Масса плодов — 100-150 г. Вкус приятный, сладкий, освежающий, с легкой кислинкой, что нечасто встречается у очень ранних томатов!</t>
  </si>
  <si>
    <t>4600707509057</t>
  </si>
  <si>
    <t>Томат Фараденза F1 10 шт (Партнер)</t>
  </si>
  <si>
    <t>Среднеранний детерминантный гибрид для открытого и защищенного грунта. От всходов до плодоношения проходит 100-110 дней. Растение среднеоблиственное, высотой до 100-110 см. Первое соцветие закладывается над 7 листом, последующие - через 2 листа. Кисти простые, с 6-7 кубовидными плодами оранжевого цвета, массой 140-150 г. Плоды плотные, мясистые, с толстой стенкой. Томаты универсального назначения: идеально подходят для консервирования и потребления в свежем виде. Урожайность 15,0-16,0 кг/м2 - в открытом грунте и 17,0-18,0 кг/м2 - в защищенном грунте.</t>
  </si>
  <si>
    <t>4620054284001</t>
  </si>
  <si>
    <t>Ц Бархатцы Бонанза Флэйм 10 шт (Партнер) 214794394</t>
  </si>
  <si>
    <t>БОНАНЗА — бесспорный лидер среди тагетеса отклоненного с превосходными показателями декоративности! Сочетает в себе очень раннее и в то же время невероятно длительное цветение. Идеально выравненные махровые цветки насыщенных теплых оттенков раскрываются один за другим и долго не увядают. На смену им появляются все новые и новые бутоны, и эта цветочная феерия продолжается с весны и до поздней осени. Благодаря превосходному ветвлению и сильным побегам растение формирует шаровидный куст диаметром до 20 см, сохраняет компактность и продолжительно цветет до заморозков без вытягивания и полегания.</t>
  </si>
  <si>
    <t>4600707506452</t>
  </si>
  <si>
    <t>Ц Виола Влюбленный эльф серия Соблазн 10 шт (Партнер)</t>
  </si>
  <si>
    <t>Совершенно очевидно, что у серии «Соблазн» замечательное будущее, она обворожительна и с ней невозможно расстаться! Она представляет собой новую концепцию, сочетая высокую садовую декоративность, абсолютную степень выравненности по размеру и форме куста, размеру цветков с генетически компактным габитусом, который сохраняется на протяжении всего сезона. На этот раз – кустовая виола с выраженной тенденцией к многолетнему росту. Благодаря скрещиванию фиалки рогатой с виолой Виттрока, гибрид характеризуется быстрым ростом, неприхотливостью и пышным цветением. Она столь же вынослива, как и ее прародительница – фиалка рогатая. У нее крупный, душистый цветок, зацветает она рано и цветет непрерывно весь сезон, причем, любит цвести букетами. Данная серия была выведена специально для корзин и контейнеров, а также для озеленения городских территорий и клумб, где важна устойчивость и предъявляются высочайшие требования к внешнему виду растений.</t>
  </si>
  <si>
    <t>4600707505578</t>
  </si>
  <si>
    <t>Ц Петуния Деним F1 серия ШОК ВЭЙВ многоцв. каскадная 5 шт (Партнер) 209526596</t>
  </si>
  <si>
    <t>«Шок Вэйв» - идеальное решение для подвесных кашпо! Гибрид уникального качества, обладающий невероятными показателями силы растения и возможностью в самые короткие сроки получить максимально цветущую форму в подвесном декоре! Сильные, полные энергии растения ударными темпами закладывают бутоны и образуют пышную крону из плотно расположенных цветков, отличающихся высокой выравненностью по габитусу и срокам цветения. Не нуждаются в формировании куста и удивительно легко переносят любые неблагоприятные погодные условия. За свои потрясающие качества «Шок Вэйв» в полной мере полюбился и садоводам любителям за обильное цветение, и профессионалам производства рассады за возможность продажи цветущих растений в ранние сроки, и ландшафтным дизайнерам за открытие новых возможностей использования в ландшафтных композициях.</t>
  </si>
  <si>
    <t>4620054280409</t>
  </si>
  <si>
    <t>Ц Петуния ИРЕН F1 серия "Лагуна", многоц.мини каскад роз.  5шт (Партнер) 209510158</t>
  </si>
  <si>
    <t>Габитус растения и диаметр цветка напоминает калибрахоа: тонкие длинные ниспадающие побеги,  достигающие в длину 1 метра, стремятся вверх и в стороны и просто усыпаны цветками. Благодаря этому, середина куста никогда не бывает пустой, что часто случается с ампельными петуниями. Цветение непрерывное и чрезвычайно обильное с весны до поздней осени, благодаря гену мужской стерильности.  «ЛАГУНА» характеризуется повышенной устойчивостью как к повышенным, так и пониженным температурам.</t>
  </si>
  <si>
    <t>4600707506506</t>
  </si>
  <si>
    <t>Ц Петуния Неон Роуз F1 серия Изи Вейв 5 шт (Партнер) 209520527</t>
  </si>
  <si>
    <t>«Изи Вэйв» - петуния с улучшенной окраской и сильным цветком, невероятно устойчивым к воздействию ветра и дождя. Дословно переводится как «легкая волна». И это не удивительно, ведь главной целью было создание легкого в уходе гибрида, который бы хорошо себя проявлял в условиях короткого дня. Она сумела доказать свою исключительную выносливость противостоять любым катаклизмам погоды и великолепно чувствовать себя в условиях жары и холода. Своим появлением «Изи Вэйв» «взбудоражила» цветоводов, ландшафтных дизайнеров, профессионалов и производителей рассады. Полюбилась она за исключительную выравненность, мощь, а также яркое и неугомонное цветение. Благодаря многочисленному ветвлению, растение образует красивую крону в форме купола с плотным расположением цветков по всему кусту. При посадке в открытый грунт одно растение с легкостью закрывает площадь около 1,5 м2 и образует красочный живой ковер. Очень быстро восстанавливается после дождя и ветра. Это лучший выбор для балконов, беседок, клумб и высоких вазонов с</t>
  </si>
  <si>
    <t>4600707509637</t>
  </si>
  <si>
    <t>Ц Петуния ПЛУМ ВАЙН F1 серия ИЗИ ВЕЙВ многоцв. каскадно-ампельная 5 шт (Партнер)</t>
  </si>
  <si>
    <t>Петуния с улучшенной окраской и сильным цветком, невероятно устойчивым к воздействию ветра и дождя. И это не удивительно, ведь главной целью было создание легкого в уходе гибрида, который бы хорошо себя проявлял в условиях короткого дня. Она сумела доказать свою исключительную выносливость противостоять любым катаклизмам погоды и великолепно чувствовать себя в условиях жары и холода. Своим появлением «Изи Вэйв» «взбудоражила» цветоводов, ландшафтных дизайнеров, профессионалов и производителей рассады. Полюбилась она за исключительную выравненность, мощь, а также яркое и неугомонное цветение. Благодаря многочисленному ветвлению, растение образует красивую крону в форме купола с плотным расположением цветков по всему кусту. При посадке в открытый грунт одно растение с легкостью закрывает площадь около 1,5 м2 и образует красочный живой ковер. Очень быстро восстанавливается после дождя и ветра. Это лучший выбор для балконов, беседок, клумб и высоких вазонов.</t>
  </si>
  <si>
    <t>4620054284445</t>
  </si>
  <si>
    <t>Ц Петуния РОЗИ ДОУН F1 серия Изи Вейв 5 шт (Партнер) 209528774</t>
  </si>
  <si>
    <t>Петуния с улучшенной окраской и сильным цветком, невероятно устойчивым к воздействию ветра и дождя. Дословно переводится как «легкая волна». И это не удивительно, ведь главной целью было создание легкого в уходе гибрида, который бы хорошо себя проявлял в условиях короткого дня. Она сумела доказать свою исключительную выносливость противостоять любым катаклизмам погоды и великолепно чувствовать себя в условиях жары и холода. Своим появлением «Изи Вэйв» «взбудоражила» цветоводов, ландшафтных дизайнеров, профессионалов и производителей рассады. Полюбилась она за исключительную выравненность, мощь, а также яркое и неугомонное цветение. Благодаря многочисленному ветвлению, растение образует красивую крону в форме купола с плотным расположением цветков по всему кусту. При посадке в открытый грунт одно растение с легкостью закрывает площадь около 1,5 м2 и образует красочный живой ковер. Это лучший выбор для балконов, беседок, клумб и высоких вазонов с размещением на уровне глаз.</t>
  </si>
  <si>
    <t>4620054280584</t>
  </si>
  <si>
    <t>Ц Петуния ТАЙНА F1 серия "Вивальди", многоц. ампельная пурпур  5шт (Партнер) 209516171</t>
  </si>
  <si>
    <t>Габитус растения напоминает звезду: все побеги стремятся в стороны, а центральный побег интенсивно растет вверх, поэтому на любой стадии развития куст имеет шарообразную форму и образует роскошные цветочные объемы. Эффектный гибрид крупноцветковой петунии с усиленным ветвлением! Растения непрерывно и чрезвычайно обильно цветут с весны до поздней осени, благодаря гену мужской стерильности. Она сумела доказать свою исключительную выносливость противостоять катаклизмам погоды и великолепно себя чувствовать в условиях жары и холода.</t>
  </si>
  <si>
    <t>4620054284506</t>
  </si>
  <si>
    <t>Ц Петуния ЧЕРРИ F1 серия ТАЙДЕЛ ВЭЙВ многоцв. амп. 5 шт (Партнер) 320058258</t>
  </si>
  <si>
    <t>Уникальный гибрид с глубоким цветом атласных лепестков и превосходными показателями цветения и роста! Рано зацветает и продолжительно цветет весь сезон, даже при коротком дне осенью. Лепестки имеют плотную текстуру, что позволяет отталкивать воду и мгновенно восстанавливаться после дождя и ветра. Демонстрирует невероятную устойчивость к болезням и делает уход легким как для профессионалов, так и для любителей. Благодаря мощному ветвлению, мгновенно заполняет пространство и идеально подходит для больших цветников и контейнеров. При высоте куста в 50 см, длина плетей достигает 1,5 м, а само растение занимает площадь более 2,5 м2.</t>
  </si>
  <si>
    <t>4620054281581</t>
  </si>
  <si>
    <t>Ц Петуния ЭСТЕЛЬ F1 серия "Мон Амур" 5шт (Партнер) 181001811</t>
  </si>
  <si>
    <t>Серия «Мон Амур» – самая неподражаемая и сногсшибательная петуния! Нельзя не восхищаться ее аккуратной, пышной внешностью: цветков столько, что под ними полностью скрыты остальные части куста. Эти достоинства заложены генетически, как и замечательная способность адаптироваться к широкому диапазону температур, от –5°С до +40°С. Благодаря наличию мужской стерильности, растения непрерывно цветут с ранней весны до поздней осени. Ослепительно яркий наряд «Мон Амур» решит проблему декорирования любого уголка сада: будь то цветник, балкон или контейнер. Высадив ее на альпийскую горку, вы получите приподнятые цветные «кочки» диаметром 40-50 см. Чтобы петуния полностью раскрыла свой потенциал, рекомендуем объем кашпо 7-10 л на одно растение и схему посадки в грунте – 35х35 см.</t>
  </si>
  <si>
    <t>4600707506643</t>
  </si>
  <si>
    <t>Ц Примула Английский Фарфор серия "Тет-А-Тет" 5 шт (Партнер) 214789168</t>
  </si>
  <si>
    <t>«Тет-А-Тет» - самая совершенная и самая достойная серия с цветками, сформированными в изысканные миниатюрные бутоны, напоминающие розочки. Они не склонны широко раскрываться, и даже хочется им в этом помочь. Ее цветки не прячутся в листве, а возвышаются над компактной розеткой темно-зеленых листьев. Лепестки, схожие с бархатом и шелком, достаточно плотные и совсем не страдают от дождя и ветра. Это очень важно, ведь дождь с ветром – не редкость, и многие сорта не выдерживают испытаний на прочность, а нашим примулам хоть бы что! Очаровательна как на стадии раскрытия, так и в полном роспуске. Чрезвычайно выносливая и наиболее раннецветущая! Цветет весной и повторно осенью. Стабильно декоративна - даже после окончания цветения она не потеряет своей привлекательности и будет выступать фоном для более ярких композиций, поскольку обладает эффектной ажурной листвой. И есть у нее еще одно преимущество – пригодность для зимней выгонки.</t>
  </si>
  <si>
    <t>4600707506612</t>
  </si>
  <si>
    <t>Ц Примула Белый танец серия "Тет-А-Тет" 5шт (Партнер) 322571845</t>
  </si>
  <si>
    <t>Самая совершенная и самая достойная серия с цветками, сформированными в изысканные миниатюрные бутоны, напоминающие розочки. Они не склонны широко раскрываться, и даже хочется им в этом помочь. Ее цветки не прячутся в листве, а возвышаются над компактной розеткой темно-зеленых листьев. Лепестки, схожие с бархатом и шелком, достаточно плотные и совсем не страдают от дождя и ветра. Очаровательна как на стадии раскрытия, так и в полном роспуске. Чрезвычайно выносливая и наиболее раннецветущая! Цветет весной и повторно осенью. Стабильно декоративна - даже после окончания цветения она не потеряет своей привлекательности .</t>
  </si>
  <si>
    <t>4600707506650</t>
  </si>
  <si>
    <t>Ц Примула Французский Шарм серия "Тет-А-Тет" 5 шт (Партнер) 322573469</t>
  </si>
  <si>
    <t>«Тет-А-Тет» - самая совершенная и самая достойная серия с цветками, сформированными в изысканные миниатюрные бутоны, напоминающие розочки. Они не склонны широко раскрываться, и даже хочется им в этом помочь. Ее цветки не прячутся в листве, а возвышаются над компактной розеткой темно-зеленых листьев. Лепестки, схожие с бархатом и шелком, достаточно плотные и совсем не страдают от дождя и ветра. Это очень важно, ведь дождь с ветром – не редкость, и многие сорта не выдерживают испытаний на прочность, а нашим примулам хоть бы что! Очаровательна как на стадии раскрытия, так и в полном роспуске. Чрезвычайно выносливая и наиболее раннецветущая! Цветет весной и повторно осенью. Стабильно декоративна - даже после окончания цветения она не потеряет своей привлекательности и будет выступать фоном для более ярких композиций, поскольку обладает эффектной ажурной листвой.</t>
  </si>
  <si>
    <t>4600707505059</t>
  </si>
  <si>
    <t>Ц Цинния Абрикосовый джем 5 шт. (Партнер) 208341396</t>
  </si>
  <si>
    <t>Самая «вкусная» и выразительная цинния с яркой индивидуальностью и цветками, напоминающими махровые хризантемы. Именно она придаст любимому уголку неповторимое очарование и, несомненно, оживит и раскрасит сад или балкон и привлечет на пиршество красавиц-бабочек, чтобы «дозаправиться» вкусным нектаром. К безусловным достоинствам следует отнести невысокий рост, что повышает сопротивляемость непогоде, а также нескончаемое цветение. У нее нет торжественности многолетних хризантем, но радовать она тоже умеет – один куст формирует до полусотни густомахровых цветков-шаров, до 7см в диаметре. Эта цинния очень привлекательна, имеет округлый габитус до 60 см в диаметре и ценится в цветоводстве за то, что дает возможность относительно быстро создать недорогой в исполнении и несложный в уходе цветник. Другой характерной особенностью является исключительная устойчивость к жаре, дождю и к комплексу заболеваний, в том числе и к серой гнили.</t>
  </si>
  <si>
    <t>4600707505134</t>
  </si>
  <si>
    <t>Ц Цинния Византийский пурпур 4 шт. (Партнер)</t>
  </si>
  <si>
    <t>Чрезвычайно выносливая и наиболее раннецветущая серия «ФЭНТЕЗИ» ярких, фантастических окрасок! Основные преимущества: исключительная выравненность по габитусу, прекрасное ветвление (без прищипки) и яркая, не выгорающая на солнце, окраска цветка. Сам цветок 100% махровый, лепестки которого настолько плотно прилегают друг к другу, что не оставляют ни малейшего шанса воде проникнуть внутрь соцветия и повредить его. Генетически сильные, полные энергии растения, до 60 см в диаметре, закладывают невероятное количество бутонов и продолжительно цветут до заморозков. Это не цветение, это настоящий «артиллерийский салют из всех орудий». Их «жажда» цветения поражает! Отличное здоровье растений позволяет противостоять неблагоприятным погодным условиям и быть высокоустойчивыми к комплексу заболеваний, в том числе и к серой гнили (Botrytis). Размещать такую красоту одно удовольствие: это отличный выбор для контейнеров, партерных цветников, бордюров и рабаток.</t>
  </si>
  <si>
    <t>4600707505066</t>
  </si>
  <si>
    <t>Ц Цинния Вишневый пирог 5 шт. (Партнер) 208336894</t>
  </si>
  <si>
    <t>«ВИШНЕВЫЙ ПИРОГ» - самая «вкусная» и выразительная цинния с яркой индивидуальностью и цветками, напоминающими махровые хризантемы. Именно она придаст любимому уголку неповторимое очарование и, несомненно, оживит и раскрасит сад или балкон и привлечет на пиршество красавиц-бабочек, чтобы «дозаправиться» вкусным нектаром. К безусловным достоинствам следует отнести невысокий рост, что повышает сопротивляемость непогоде, а также нескончаемое цветение. У нее нет торжественности многолетних хризантем, но радовать она тоже умеет – один куст формирует до полусотни густомахровых цветков-шаров, до 7 см в диаметре. Эта цинния очень привлекательна, имеет округлый габитус до 60 см в диаметре и ценится в цветоводстве за то, что дает возможность относительно быстро создать недорогой в исполнении и несложный в уходе цветник. Другой характерной особенностью является исключительная устойчивость к жаре, дождю и к комплексу заболеваний, в том числе и к серой гнили (Botrytis).</t>
  </si>
  <si>
    <t>4620054284605</t>
  </si>
  <si>
    <t>Ц Цинния Дайкири 4 шт. (Партнер) 219278969</t>
  </si>
  <si>
    <t>Имя этой мексиканской красотки созвучно с названием легендарного коктейля - «Дайкири». Коралловая окраска цветка выглядит «вкусно», «фруктово-сочно», но не ослепительно ярко, приобретая, по мере роспуска, более пастельный оттенок. Очень крупные, до 12 см в диаметре, цветки редко появляются по одному, чаще всего - это целый букет! Одновременно на растении может быть раскрыто более десятка цветков, которые долго держат форму и не выгорают на солнце. Генетически компактные кусты, до 50 см в диаметре, все как на подбор — выравненные, с хорошим ветвлением и устойчивыми цветоносами. Серия «Сочные тропики» отличается ранним, продолжительным цветением, неприхотливостью в уходе, а крепкое здоровье растений позволяет противостоять неблагоприятным погодным условиям и быть высокоустойчивыми к комплексу заболеваний, в том числе и к серой гнили (Botrytis). Это поистине удивительная серия для любого садового интерьера: ландшафтного, балконного или контейнерного декора в любимом патио-дворике.</t>
  </si>
  <si>
    <t>4620054284865</t>
  </si>
  <si>
    <t>Ц Цинния Королевский Алый 4 шт. (Партнер) 309560350</t>
  </si>
  <si>
    <t>Чрезвычайно выносливая и наиболее раннецветущая серия «ФЭНТЕЗИ» ярких, фантастических окрасок! Основные преимущества: исключительная выравненность по габитусу, прекрасное ветвление (без прищипки) и яркая, не выгорающая на солнце, окраска цветка. Сам цветок 100% махровый, лепестки которого настолько плотно прилегают друг к другу, что не оставляют ни малейшего шанса воде проникнуть внутрь соцветия и повредить его. Генетически сильные, полные энергии растения, до 60 см в диаметре, закладывают невероятное количество бутонов и продолжительно цветут до заморозков. Это не цветение, это настоящий «артиллерийский салют из всех орудий». Их «жажда» цветения поражает! Отличное здоровье растений позволяет противостоять неблагоприятным погодным условиям и быть высокоустойчивыми к комплексу заболеваний, в том числе и к серой гнили.</t>
  </si>
  <si>
    <t>4600707505080</t>
  </si>
  <si>
    <t>Ц Цинния Медовая коврижка 5 шт. (Партнер) 208337144</t>
  </si>
  <si>
    <t>4600707505158</t>
  </si>
  <si>
    <t>Ц Цинния Персидский красный 4 шт. (Партнер)</t>
  </si>
  <si>
    <t>4600707505301</t>
  </si>
  <si>
    <t>Ц Цинния Примавера 4 шт. (Партнер) 219279618</t>
  </si>
  <si>
    <t>Имя этой мексиканской красотки созвучно с названием легендарного коктейля - «Примавера». Чудесная розовая окраска цветка выглядит «вкусно», «фруктово-сочно», но не ослепительно ярко, приобретая, по мере роспуска, более пастельный оттенок. Очень крупные, до 12 см в диаметре, цветки редко появляются по одному, чаще всего - это целый букет! Одновременно на растении может быть раскрыто более десятка цветков, которые долго держат форму и не выгорают на солнце. Генетически компактные кусты, до 50 см в диаметре, все как на подбор — выравненные, с хорошим ветвлением и устойчивыми цветоносами. Серия «Сочные тропики» отличается ранним, продолжительным цветением, неприхотливостью в уходе, а крепкое здоровье растений позволяет противостоять неблагоприятным погодным условиям и быть высокоустойчивыми к комплексу заболеваний, в том числе и к серой гнили (Botrytis). Это поистине удивительная серия для любого садового интерьера: ландшафтного, балконного или контейнерного декора в любимом патио-дворике.</t>
  </si>
  <si>
    <t>4600707505097</t>
  </si>
  <si>
    <t>Ц Цинния Рябиновая пастила 5 шт. (Партнер) 208339378</t>
  </si>
  <si>
    <t>Самая «вкусная» и выразительная цинния с яркой индивидуальностью и цветками, напоминающими махровые хризантемы. Именно она придаст любимому уголку неповторимое очарование и, несомненно, оживит и раскрасит сад или балкон и привлечет на пиршество красавиц-бабочек, чтобы «дозаправиться» вкусным нектаром. К безусловным достоинствам следует отнести невысокий рост, что повышает сопротивляемость непогоде, а также нескончаемое цветение. У нее нет торжественности многолетних хризантем, но радовать она тоже умеет – один куст формирует до полусотни густомахровых цветков-шаров, до 7 см в диаметре. Эта цинния очень привлекательна, имеет округлый габитус до 60 см в диаметре и ценится в цветоводстве за то, что дает возможность относительно быстро создать недорогой в исполнении и несложный в уходе цветник. Другой характерной особенностью является исключительная устойчивость к жаре, дождю и к комплексу заболеваний, в том числе и к серой гнили (Botrytis).</t>
  </si>
  <si>
    <t>4620054284803</t>
  </si>
  <si>
    <t>Ц Цинния Сангрия 4 шт. (Партнер) 219280643</t>
  </si>
  <si>
    <t>Корзинка цвета скарлет выглядит «вкусно», «фруктово-сочно», но не ослепительно ярко, приобретая, по мере роспуска, более пастельный оттенок. Очень крупные, до 12 см в диаметре, цветки редко появляются по одному, чаще всего - это целый букет! Одновременно на растении может быть раскрыто более десятка цветков, которые долго держат форму и не выгорают на солнце. Генетически компактные кусты, до 50 см в диаметре, все как на подбор — выравненные, с хорошим ветвлением и устойчивыми цветоносами. Серия «Сочные тропики» отличается ранним, продолжительным цветением, неприхотливостью в уходе, а крепкое здоровье растений позволяет противостоять неблагоприятным погодным условиям и быть высокоустойчивыми к комплексу заболеваний, в том числе и к серой гнили.</t>
  </si>
  <si>
    <t>4620054284872</t>
  </si>
  <si>
    <t>Ц Цинния Янтарный Берег 4 шт. (Партнер) 309540314</t>
  </si>
  <si>
    <t>4680224002934</t>
  </si>
  <si>
    <t>Баклажан Бэйби Блэк (Плазмас)</t>
  </si>
  <si>
    <t>Плазмас (Агроника)</t>
  </si>
  <si>
    <t>Этот урожайный гибрид создан для выращивания в малообъемной культуре (горшках, контейнерах) и в сочетании с раннеспелостью обладает длительным периодом плодоношения. Растение формирует компактный, хорошо ветвящийся куст «без шипов», высотой до 55см и 45см в диаметре. Плоды овальной формы, в технической спелости темно-пурпурной, почти черной окраски, массой около 80г.</t>
  </si>
  <si>
    <t>4680224002910</t>
  </si>
  <si>
    <t>Баклажан Бэйби Уайт 7 шт. (Плазмас)</t>
  </si>
  <si>
    <t>Этот гибрид создан специально для выращивания в малообъемной культуре (горшках, контейнерах) и обладает длительным периодом плодоношения. Растение формирует компактный, хорошо ветвящийся куст «без шипов», высотой до 55 см и 45 см в диаметре. Плоды овальной формы, в технической спелости кремово-белой окраски, массой около 80 г. Плоды могут долго оставаться на кусте, до перезревания.</t>
  </si>
  <si>
    <t>4680224003412</t>
  </si>
  <si>
    <t>Перец Бэйби Белл F1 8 шт. (Плазмас)</t>
  </si>
  <si>
    <t>Этот раннеспелый гибрид сладкого перца с растянутым периодом плодоношения был создан специально для выращивания в малообъемной культуре (горшках, контейнерах, балконных ящиках или подвесных корзинах). Растение формирует компактный куст, высотой 25-30 см и 30-45 см в диаметре. Период от появления всходов до созревания – 75-80 дней. Плоды трех- или четырех-камерные с малым количеством семян, массой 30-70 г. По мере созревания окраска плодов меняется от зеленой к ярко-красной. Мякоть ароматная, сочная, хрустящая. Рекомендован для потребления в свежем виде, цельноплодного консервирования, фарширования.</t>
  </si>
  <si>
    <t>4607171984212</t>
  </si>
  <si>
    <t>Ц Бегония Шансон Ярко-красная (Плазмас)</t>
  </si>
  <si>
    <t>КОМНАТНОЕ МНОГОЛЕТНЕЕ. Превосходная ампельная бегония с махровыми и полумахровыми цветками. У растения обычно 5-8 основных побегов, на которых в пазухе каждого листа расположены длинные цветоносы с правильными камелиевидными цветками диаметром 6-8 см. Длина свисающих побегов 30-45 см. Цветение обильное и продолжительное. Растение образует крупные клубни, которые можно сохранять до следующего сезона. Её цветы отлично украсят Ваши подвесные горшки и балконные ящики.</t>
  </si>
  <si>
    <t>4607171986681</t>
  </si>
  <si>
    <t>Ц Ковыль Пушистое Облако (Плазмас)</t>
  </si>
  <si>
    <t>Быстро растущая декоративная многолетняя трава, образует густые дерновины в форме красивого хвоста. Изящные, высотой 40-50 см, зеленые, шелковистые нитевидные стебли колышутся при малейшем дуновении ветра. Высаживают куртинами на открытых местах – в натургардене или возле газона, на участках с хорошо дренированной почвой. Отдельные растения или небольшие группы придутся к месту в рокарии и на альпийской горке среди других невысоких засухоустойчивых растений. Соцветия используются в срезке для живых и сухих цветочных композиций.</t>
  </si>
  <si>
    <t>4680224000046</t>
  </si>
  <si>
    <t>Ц Пеларгония Мулен Руж F1  3 шт. (Плазмас)</t>
  </si>
  <si>
    <t>Пеларгония F1 Мулен Руж с крупными, ослепительной окраски цветами и крепкими стеблями отлично подойдет для оформления веранд и лоджий, подвесных уличных корзин и вазонов. Растение формирует объемный плотный куст, высотой 40-50 см и диаметром до 50 см, снизу украшенный декоративными листьями с рисунком, а сверху – ослепительными ярко-красными гигантскими шаровидными соцветиями. Способность данной пеларгонии к формированию плотного куста и размер соцветий сделают её номером один в Вашем выборе пеларгоний.</t>
  </si>
  <si>
    <t>4607171982669</t>
  </si>
  <si>
    <t>Ц Флокс многолетний смесь (Плазмас)</t>
  </si>
  <si>
    <t>Одна из наиболее декоративных многолетних культур. Высота до 90 см. Ароматные цветки диаметром 2-5 см, собраны в соцветия до 20 см в диаметре. Окраска цветков от белой до красно-алой. Растение холодоустойчиво. Используют для миксбордеров, групп, ярких пятен на газоне, на фоне кустарников и оград.</t>
  </si>
  <si>
    <t>4601887154679</t>
  </si>
  <si>
    <t>Базилик Гурман анисовый (А) 0,25 гр.(П\ц)</t>
  </si>
  <si>
    <t>реднеспелый сорт. Период от всходов до технической спелости 60 дней. Растение компактное, округлой формы, высотой 30 см, диаметром 28 см. Лист мелкий, яйцевидный, зелёного цвета. Аромат насыщенный анисовый. Масса одного растения 160 г. Ценность сорта: выравненность растений и привлекательный внешний вид. Рекомендуется использовать в свежем виде, в качестве пряно-вкусовой добавки в кулинарии, в сушёном виде и при консервировании.</t>
  </si>
  <si>
    <t>4601887153771</t>
  </si>
  <si>
    <t>Кабачок Казанова 12 шт. (П\ц)</t>
  </si>
  <si>
    <t>Раннеспелый гибрид. Растение полуплетистое. Плод в технической спелости цилиндрический, гладкий, светло-зеленый с белыми средней величины точками, длинный, среднего диаметра. Масса 0,8-1,6 кг. Мякоть кремовая, сочная, плотная. Вкус отличный. Плоды продолжительное время сохраняют товарные качества, не перерастают. Гибрид засухоустойчивый.</t>
  </si>
  <si>
    <t>4601887030973</t>
  </si>
  <si>
    <t>Кабачок Спагетти равиоло (А) 12 шт. (П\ц) 222564910</t>
  </si>
  <si>
    <t>Интересный сорт с волокнистой структурой мякоти плодов. Среднеспелый. Растение плетистое, лист зеленый со слабовыраженной пятнистостью, рассеченный. Плод цилиндрической формы, полностью развитый - зеленый, зрелый – беловатый, длинной до 20 см. Масса до 1 кг. Мякоть толстая, распадающаяся на волокна, сладкая, сочная. Вкусовые качества отличные.</t>
  </si>
  <si>
    <t>4601887089926</t>
  </si>
  <si>
    <t>Кабачок Спагетти фемели (А) 12 шт. (П\ц) 222566139</t>
  </si>
  <si>
    <t>Оригинальный белоплодный сорт. Раннеспелый сорт.  Период от всходов до плодоношения 45-50 дней. Растение кустового типа. Плоды цилиндрические, светло-кремовые, массой 0,7-1,6 кг. Внутренняя структура мякоти зрелых плодов волокнистая, у молодых мякоть белая, нежная</t>
  </si>
  <si>
    <t>4601887282501</t>
  </si>
  <si>
    <t>Капуста б/к Фрейлина F1  0,2гр. (П/ц)</t>
  </si>
  <si>
    <t>Высокая товарность и отличные вкусовые качества. Раннеспелый гибрид. Период от высадки рассады до начала уборки урожая 65-70 дней. Кочан округлой формы, частично покрытый, на разрезе беловатый, плотный, с отличной внутренней структурой. Масса 1,6-1,8 кг. Внутренняя кочерыга короткая 5-6 см. Рекомендуется для использования в свежем виде.</t>
  </si>
  <si>
    <t>4601887367888</t>
  </si>
  <si>
    <t>Капуста к/к Красное сердце 0,1 гр. (П/ц)</t>
  </si>
  <si>
    <t>Уникальная форма кочана. Среднеспелый сорт. Период от полных всходов до уборки 105-120 дней. Кочан конусовидный, среднеплотный, частично прикрытый, окраска кроющих листьев красная, на разрезе - красно-фиолетовая. Масса кочана 1,5-2,0 кг. Вкус сладкий, консистенция нежная, сочная. Ценность сорта: высокая урожайность, устойчивость к пониженным температурам и повышенной влажности почвы.</t>
  </si>
  <si>
    <t>4601887395645</t>
  </si>
  <si>
    <t>Капуста листовая Фитнес 0,1 гр. (П\ц)</t>
  </si>
  <si>
    <t>Невероятно красивый и неприхотливый. Растение с насыщенными темно-зелеными пупырчатыми, покрытыми сизым налетом, очень сочными и вкусными листьями, через 75-90 дней достигает высоты 50-65 см. Урожай собирают, срывая отдельные листья. Диетический продукт.</t>
  </si>
  <si>
    <t>4601887154495</t>
  </si>
  <si>
    <t>Капуста пекинская Бокал 0,5 гр. (П\ц)</t>
  </si>
  <si>
    <t>Раннеспелый сорт. Период от полных всходов до наступления технической спелости 70-75 дней. Растение средней высоты, розетка ролувертикальная. Кочан среднего размера, закрытый, широкоэллиптический, плотный, окраска внешних листьев желто-зеленая, пузырчатость внешних и внутренних листьев средняя. Внутренняя кочерыга средней длины. Масса 1,5-2 кг.</t>
  </si>
  <si>
    <t>4601887120575</t>
  </si>
  <si>
    <t>Капуста савойск. Уралочка (П\ц)</t>
  </si>
  <si>
    <t>Кочаны отличного качества. Позднеспелый сорт. Период от всходов  до уборки урожая  125-130 дней. Лист крупный, светло-зеленый, сильнопузырчатый, гофрированный. Кочан округлый, плотный, на разрез желтоватый. Масса 1-2,2 кг. Вкусовые качества хорошие. Устойчивы к растрескиванию. Рекомендуется для использования в свежем виде.</t>
  </si>
  <si>
    <t>4601887028833</t>
  </si>
  <si>
    <t>Лук Кармен  репч. 1гр.(П\ц)</t>
  </si>
  <si>
    <t>Выравненные луковицы. Отличная вызреваемость. Среднеспелый высокоурожайный сорт. Пригоден для выращивания в однолетней культуре. От всходов до уборки урожая 90-110 дней. Луковица округло-плоская, средней плотности. Масса 70-100 г. Окраска сухих чешуй фиолетовая и темно-фиолетовая, сочных – белая с красно-фиолетовой поверхностью. Вкус слабоострый.  Лежкость и транспортабельность отличные.</t>
  </si>
  <si>
    <t>4601887367758</t>
  </si>
  <si>
    <t>Мангольд Золотой веер (А) 0,5 гр.(П\ц)</t>
  </si>
  <si>
    <t>Богат витаминами и минеральными солями. Среднеранний сорт, от полных всходов до начала хозяйственной годности 60-65 дней. Розетка листьев полувертикальная, высотой - до 42 см. Лист зеленый, сильноглянцевый. Черешок желтый, среднеизогнутый. Сорт устойчив к цветушности, хорошо отрастает после срезки отдельных листьев. Нежные, слегка сладковатые, без горечи молодые листья и черешки, используют в домашней кулинарии и для консервирования. Красивые пузырчатые листья с яркими желтыми черешками станут прекрасным украшением не только салата, но и Вашего огорода.</t>
  </si>
  <si>
    <t>4601887027447</t>
  </si>
  <si>
    <t>Морковь Император (Драже) (П/ц)</t>
  </si>
  <si>
    <t>Отличная внутренняя и наружная окраска. Позднеспелый сорт. Сортотип Берликум. Период от всходов до уборки урожая 120-135 дней. Корнеплод цилиндрический со сбегом к основанию, тупоконечный, оранжево-красный. Длина 25-30 см. Мякоть плотная, сладкая, ароматная, сочная. Хорошие транспортабельность и лежкость. Универсальное использование.</t>
  </si>
  <si>
    <t>4601887015987</t>
  </si>
  <si>
    <t>Морковь Канада F1 0.5 гр (П\ц)</t>
  </si>
  <si>
    <t>Позднеспелый гибрид. Период от всходов до уборки урожая 130-136 дней. Сортотип Шантенэ. Корнеплод крупный, полуконический, гладкий, яркой окраски.  Масса 150-200г. Гибрид устойчив к болезням, обладает великолепной лежкостью. Рекомендуется для потребления в свежем виде и хранения.</t>
  </si>
  <si>
    <t>4601887012092</t>
  </si>
  <si>
    <t>Морковь Наполи 0,5 гр. (П\ц)</t>
  </si>
  <si>
    <t>Скороспелый гибрид. Период от всходов до уборки урожая 90-100 дней. Сортотип Нантская. Ботва крепкая, темно-зеленая. Корнеплод цилиндрической формы, слегка сбегающий на конус, ярко-оранжевой окраски. Длина 19-21 см, масса 120-180 г. Вкусовые качества отличные.</t>
  </si>
  <si>
    <t>4601887094517</t>
  </si>
  <si>
    <t>Морковь Нарбонне F1 0,5 гр. (П\ц)</t>
  </si>
  <si>
    <t>Позднеспелый гибрид. Период от всходов до уборки урожая 135 дней. Сортотип Нантская. Ботва крепкая, темно-зеленая. Корнеплоды однородные,  цилиндрической формы, слегка сбегающий на конус, ярко-оранжевой окраски. Длина 18-22 см, масса 100-150 г. Вкусовые качества отличные.</t>
  </si>
  <si>
    <t>4601887027478</t>
  </si>
  <si>
    <t>Морковь Ромоса (драж) 300шт.  (П/ц)</t>
  </si>
  <si>
    <t>Позднеспелый сорт. Период от всходов до уборки урожая 125-130 дней. Сортотип Берликум. Корнеплоды цилиндрические. Длина 20-24 см, масса 150-200 г. Поверхность и сердцевина красно-оранжевая. Мякоть сочная, очень сладкая, отличного вкуса. Рекомендуется для потребления в свежем виде, переработки и хранения.</t>
  </si>
  <si>
    <t>4601887020981</t>
  </si>
  <si>
    <t>Морковь Ромоса (лента) 8 м (П/ц)</t>
  </si>
  <si>
    <t>Позднеспелый сорт. Период от всходов до уборки урожая 125-130 дней. Сортотип Нантская. Корнеплоды цилиндрические. Длина 20-24 см, масса 150-200 г. Поверхность и сердцевина красно-оранжевая. Мякоть сочная, очень сладкая, отличного вкуса. Рекомендуется для потребления в свежем виде, переработки и хранения.</t>
  </si>
  <si>
    <t>4601887011781</t>
  </si>
  <si>
    <t>Морковь Ромоса 2гр. (П\ц)</t>
  </si>
  <si>
    <t>4601887101550</t>
  </si>
  <si>
    <t>Морковь Ярославна  (на ленте) 8 м (П\ц)</t>
  </si>
  <si>
    <t>Среднеспелый сорт. Сортотип Берликум. Период от всходов до уборки урожая 125-135 дней. Корнеплоды выровненные, тупоконечные. Длина 18-22 см. Нежная, сочная мякоть с высоким содержанием каротина. Окраска поверхности и мякоти корнеплода красно-оранжевая. Мякоть нежная, сочная, великолепного вкуса. Универсальное использование.</t>
  </si>
  <si>
    <t>4601887185765</t>
  </si>
  <si>
    <t>Огурец Амур 10 шт.(П\ц)</t>
  </si>
  <si>
    <t>Партенокарпик. Надёжный гибрид, известный своими отличными вкусовыми качествами. Для открытого грунта и пленочных теплиц. Среднеранний. В плодоношение вступает через 50-55 дней после всходов. Растение мощное, открытого типа, удобный сбор плодов. Плоды цилиндрические, зеленые, среднебугорчатые, опушение белое. Урожайность стабильная. Гибрид устойчив к кладоспориозу, мучнистой росе, вирусу огуречной мозаики. Универсальное использование.</t>
  </si>
  <si>
    <t>4601887211013</t>
  </si>
  <si>
    <t>Огурец Апрельский 0,5 гр. (СЕМЕТРА)(П\ц)</t>
  </si>
  <si>
    <t>Пантенокарпический (самоопыляемый) ранний, скороспелый, холодостойкий, преимущественно женского типа цветения. Но лучше плодоносит при опылении пчёлами (на 25 – 30%), особенно при ранних посадках. Популярен не только для посадки на садовом участке, но и дома, на подоконнике.</t>
  </si>
  <si>
    <t>4601887267072</t>
  </si>
  <si>
    <t>Огурец Букет для мамы 12шт. (П\ц)</t>
  </si>
  <si>
    <t>Раннеспелый партенокарпический гибрид женского типа цветения. Период от полных всходов до первого сбора урожая 38-42 дня. Растение сильнорослое, ветвление среднее. В узле формируются 4-6 и более завязей. Плоды цилиндрические, крупнобугорчатые, белошипые, длиной 10-12 см, диаметром 3,5-4 см. Масса 110-130 г.</t>
  </si>
  <si>
    <t>4601887200383</t>
  </si>
  <si>
    <t>Огурец Клодин 10 шт. (П\ц)</t>
  </si>
  <si>
    <t>анний (38-43 дня) партенокарпический гибрид. Растение среднерослое, среднеплетистое, с женским типом цветения Зеленцы темно-зеленые, короткие, длиной 8-12 см, массой 90-110 г, мелкобугорчатые, плотные, хрустящие, отличного вкуса, генетически без горечи.</t>
  </si>
  <si>
    <t>4601887132899</t>
  </si>
  <si>
    <t>Огурец Маша 5 шт.(П\ц)</t>
  </si>
  <si>
    <t>Ранний сорт. От всходов до плодоношения 36–45 дней. Детерминантное растение, все цветы женского типа. Огурцы цилиндрической формы. Средняя длина — 8–10 см. Могут вырасти до 11–12 см, но при этом теряют вкусовые качества. Диаметр корнишона — 3–3,5 см.</t>
  </si>
  <si>
    <t>4601887011064</t>
  </si>
  <si>
    <t>Огурец Отело 12 шт (П\ц)</t>
  </si>
  <si>
    <t>Плоды высоких вкусовых качеств, без горечи. Для открытого грунта и пленочных теплиц. Раннеспелый пчёлоопыляемый гибрид. В плодоношение вступает через 40-45 дней после всходов. Растение плетистое. Плоды цилиндрической формы, длиной 8-10 см, мелкобугорчатые, с нежным белым опушением, зеленые. Универсальное назначение. Устойчив к комплексу болезней огурца.</t>
  </si>
  <si>
    <t>4601887000563</t>
  </si>
  <si>
    <t>Огурец Стелла 12шт.(П\ц)</t>
  </si>
  <si>
    <t>Партенокарпический среднеранний гибрид для защищенного грунта.  Период от всходов до начала плодоношения 60-67 дней. Растение длинноплетистое. Плоды цилиндрической формы, длиной 20-25 см, диаметром 3,5-4,5 см. Масса 250-270 г. Основание вытянутое, гофрированное. Отличные вкусовые качества. Отличаются высокой однородностью по форме и размерам. Салатное назначение.</t>
  </si>
  <si>
    <t>4601887267133</t>
  </si>
  <si>
    <t>Огурец Щелкунчик 12 шт. (П\ц)</t>
  </si>
  <si>
    <t>Раннеспелый партенокарпический гибрид женского типа цветения. Период от полных всходов до первого сбора урожая 43-45 дней. Растение сильнорослое, ветвление сильное. В узле формируется 2-3 завязи. Плоды цилиндрические, крупнобугорчатые, тёмно-зеленые, длиной 10-12 см, диаметром 3-4 см. Масса 95-110 г. Устойчив к комплексу болезней огурца.  Используется для свежего потребления и маринования</t>
  </si>
  <si>
    <t>4601887153818</t>
  </si>
  <si>
    <t>Перец Император 12 шт. (П\ц)</t>
  </si>
  <si>
    <t>Раннеспелый гибрид для открытого грунта и плёночных теплиц. Период от всходов до созревания плодов 90-105 дней. Растение полураскидистое, компактное, средней высоты. Плод пониклый, конусовидный, глянцевый, окраска в технической спелости зеленая, в биологической - красная. Число гнезд 2-3. Масса плода 130-150 г, толщина стенки 6-8 мм. Вкус свежих плодов отличный. Универсальное использование.</t>
  </si>
  <si>
    <t>4601887268888</t>
  </si>
  <si>
    <t>Перец Красный бочонок 0.1гр (П/ц)</t>
  </si>
  <si>
    <t>Среднеспелый сорт для открытого грунта и пленочных теплиц. Период от всходов до созревания плодов 125-135 дней. Растение высотой 55 -75 см, полураскидистое. Плоды пониклые, кубовидные, глянцевые, в технической спелости темно-зеленые, в биологической – темно-красные. Толщина стенки плода5-7 мм. Масса плода 200-350 г. Вкусовые качества отличные. Используется для свежего потребления и консервирования.</t>
  </si>
  <si>
    <t>4601887332237</t>
  </si>
  <si>
    <t>Перец Оранжевый бочонок (А) 0,1 гр.(П\ц)</t>
  </si>
  <si>
    <t>Очень ароматные, вкусные и сочные плоды. Среднеспелый сорт. Для открытого грунта и пленочных теплиц. Период от всходов до начала созревания 110-120 дней. Растение среднерослое. Плод призмовидной формы, глянцевый, в технической спелости зеленый, в биологической - оранжевый. Масса плода 140-160 г, толщина стенки 5,8-6,2 мм. Вкус отличный.</t>
  </si>
  <si>
    <t>4601887218005</t>
  </si>
  <si>
    <t>Перец Феникс кустарн. 5 шт. (П\ц)</t>
  </si>
  <si>
    <t>Раннеспелый, кустовой. Период от всходов до начала плодоношения 95-100 дней. Высота растения до 45 см. Плоды конусовидной формы, красные, длиной 5-8 см. Вкус острый. Урожаен. Используют как приправу к блюдам и в качестве специй. Рекомендуемая ёмкость для выращивания одного растения не менее 4 л. В зимний период необходимо досвечивание.</t>
  </si>
  <si>
    <t>4601887061939</t>
  </si>
  <si>
    <t>Перец Эльф (П\ц)</t>
  </si>
  <si>
    <t>Плоды направлены вверх, очень сладкие. Раннеспелый сорт для открытого грунта и пленочных теплиц. Период от всходов до созревания плодов 105-110 дней. Растение высотой 45-55 см, раскидистое. Плоды конусовидные, красные. Поверхность гладкая. Толщина стенки плода 4-4,5 мм. Масса 50-60 г. Отличные вкусовые качества, незаменим для салатов.</t>
  </si>
  <si>
    <t>4601887161042</t>
  </si>
  <si>
    <t>Портулак Лакомка огородный 20 шт. (П/ц)</t>
  </si>
  <si>
    <t>Травянистое растение с ветвистыми стеблями длиной 25-40 см. Листья супротивные, мелкие, толстые, удлиненно-клиновидные, сочные.
Портулак относится к светолюбивым растениям. Любит рыхлые, богатые питательными веществами теплые песчаные почвы. Цветет в мае - июне, плодоносит в июне - июле.</t>
  </si>
  <si>
    <t>4601887282655</t>
  </si>
  <si>
    <t>Редис Озорник 3 гр. (П\ц)</t>
  </si>
  <si>
    <t>Раннеспелый сорт. Период от всходов до сбора корнеплодов 25-28 дней. Корнеплод округлый, красный с белым кончиком, головка выпуклая. Мякоть белая, нежная, сочная. Масса корнеплода 22-25 г. Вкусовые качества хорошие.</t>
  </si>
  <si>
    <t>4601887027973</t>
  </si>
  <si>
    <t>Редис Ромео 3 гр. (П\ц)</t>
  </si>
  <si>
    <t>Раннеспелый сорт. Дружно формирует урожай за 20-25 дней от всходов, пригоден для возделывания в открытом грунте, весенних пленочных теплицах и парниках. Розетка листьев раскидистая, корнеплод на 1/2 приподнят над поверхностью почвы. Корнеплоды округлые, розово-красные с белым кончиком, массой 25-32 г. Мякоть белая, часто прозрачная, иногда с розоватым оттенком, плотная, сочная, остро-сладкого вкуса, долго не дряблеет.</t>
  </si>
  <si>
    <t>4601887092254</t>
  </si>
  <si>
    <t>Редис Снегирек  3 гр. (П\ц)</t>
  </si>
  <si>
    <t>4601887307532</t>
  </si>
  <si>
    <t>Редис Юбилейный 3 гр. (П\ц)</t>
  </si>
  <si>
    <t>Белоснежная, сочная мякоть, слабоострого вкуса, без пустот. Раннеспелый сорт. От полных всходов до сбора урожая 25-30 дней. Розетка листьев полупрямостоячая. Корнеплод округлый, красный, головка плоская. Мякоть белая, нежная, сочная, слабоострая. Масса корнеплода 18-24 г. Вкусовые качества отличные.</t>
  </si>
  <si>
    <t>4601887101147</t>
  </si>
  <si>
    <t>Свекла Водан 2 гр. (П\ц)</t>
  </si>
  <si>
    <t>Самый раннеспелый гибрид, пригоден для пучковой продукции. Великолепная урожайность во всех зонах. Период от всходов до уборки урожая 80-95 дней. Розетка листьев компактная. Корнеплод округлый, гладкий, темно-красного цвета, «хвостик» тонкий, массой 280-420 г. Мякоть, интенсивно окрашенная, без разделения на кольцевые зоны. При заниженной норме посева дает очень высокий урожай. Рекомендуется для летнего потребления на пучок и хранения.</t>
  </si>
  <si>
    <t>4601887210665</t>
  </si>
  <si>
    <t>Томат Алый Фрегат 10 шт. (П\ц)</t>
  </si>
  <si>
    <t>Раннеспелый индетерминантный (более 180 см) гибрид для выращивания в парниках, пленочных и стеклянных теплицах. От всходов до начала созревания плодов 90-95 дней. Плоды овальные ярко-красные, массой 100-120 г, собраны в кисть по 6-7 штук, сладкие, не растрескиваются. Гибрид отличается высокой урожайностью, устойчивостью к перепадам температур. Не поражается ВТМ, кладиоспориозом, фузариозным увяданием. Рекомендуется для употребления в свежем виде, консервирования и соления.</t>
  </si>
  <si>
    <t>4601887217633</t>
  </si>
  <si>
    <t>Томат Банан желтый 10 шт. (П\ц)</t>
  </si>
  <si>
    <t>Солнечные, ярко-жёлтые, сладкие, мясистые плоды для любого салата. Можно приготовить отличную пасту или кетчуп необычного цвета. Растения с красивой, кружевной листвой, со множеством жёлтых плодов придадут  интригу вашему саду. Среднеспелый, урожайный сорт для пленочных теплиц. Растение высокорослое, требует формирования и подвязки.  Забавные плоды, с сочной мякотью и отличного вкуса, похожи по форме и цвету на небольшой банан. Масса 80-120 г. Для консервирования и использования в свежем виде.
Стимулятор  плодообразования ТОМАТОН - гарантия высокого урожая при любых неблагоприятных условиях роста.</t>
  </si>
  <si>
    <t>4601887320005</t>
  </si>
  <si>
    <t>Томат Бобрин 12 шт. (П\ц)</t>
  </si>
  <si>
    <t>Среднеспелый гибрид для выращивания в открытом грунте и плёночных теплицах. Период от всходов до плодоношения 105-115 дней. Растение детерминантное, 45-60 см высотой. Хорошо облиственное. Плоды округлой формы, плотные, крупные, выровненые по форме и размеру, слаборебристые, ярко-красного цвета. Масса плода - 200-250 г. Весь период плодоношения растение дает крупные и красивые плоды отличного вкуса. Хорошо переносит жару. Транспортабельный. Для свежего потребления и переработки на томатпродукты.</t>
  </si>
  <si>
    <t>4601887217718</t>
  </si>
  <si>
    <t>Томат Гостинец 10 шт. (П\ц)</t>
  </si>
  <si>
    <t>Среднеспелый сорт для пленочных теплиц. Растение высокорослое, требует формирования и подвязки.  Плод округлый или слегка плоскоокруглый, слаборебристый, зеленый, с оттенком жёлтого при полной зрелости. Мякоть плотная, сладкая, ароматная. Масса 150-280 г. Для употребления в свежем виде и консервирования.</t>
  </si>
  <si>
    <t>4601887268963</t>
  </si>
  <si>
    <t>Томат Желтое сердце 10 шт. (П\ц)</t>
  </si>
  <si>
    <t>Крупноплодный и очень вкусный. Раннеспелый, детерминантный сорт для открытого и защищенного грунта. Требует подвязки и формирования. Период от всходов до начала плодоношения 110-105 дней. Растение высотой до 120 см. Плод сердцевидной формы, гладкий или слаборебристый, лимонно-желтого цвета, массой 150-200 г (до 400 г). Мякоть нежная, сочная, замечательного вкуса. Рекомендуется для потребления в свежем виде.</t>
  </si>
  <si>
    <t>4601887011262</t>
  </si>
  <si>
    <t>Томат Инкас 12 шт. (П\ц)</t>
  </si>
  <si>
    <t>Один из лучших гибридов для консервирования целых плодов без кожицы. Популярный среднеспелый высокоурожайный кустовой гибрид. Период от всходов до созревания 105-110 дней. Растение среднерослое, компактное. Плоды по 80-100 г, плотные, ярко-красные, перцевидные, мясистые, однородные, хорошо переносят солнечные ожоги. Очень дружные в созревании. Транспортируются без потери качества. Устойчив к фузариозу (расы 1;2), вертициллиозу (V F1,2). Рекомендуется для любых видов переработки и свежего потребления. Семена обработаны тирамом, не требуют замачивания.</t>
  </si>
  <si>
    <t>4601887230199</t>
  </si>
  <si>
    <t>Томат Искры Пламени  (П\ц)</t>
  </si>
  <si>
    <t>Среднепоздний сорт для пленочных теплиц. Растение высокорослое, требует формирования и подвязки.  Прекрасные плоды длиной 13 см, оригинальной окраски. Мясистая, сочная мякоть с небольшим количеством семян. Настоящий великолепный томатный вкус, идеально подходит для приготовления соусов, пасты и для употребления в свежем виде</t>
  </si>
  <si>
    <t>4601887129073</t>
  </si>
  <si>
    <t>Томат Китайский фонарик 10 шт. (П\ц)</t>
  </si>
  <si>
    <t>Пёстрые плоды с гармоничной кислинкой и богатым вкусом. Находка для любителей томатов необычной окраски. Среднеспелый сорт (110-115 дней от всходов до созревания) для защищённого грунта. Растение высокорослое (1,6-2 м), требует своевременной подвязки и формирования. В кисти до 7 плодов. Плоды округлые, гладкие, глянцевые, окраска незрелого плода зеленоватая с фиолетовыми штрихами, зрелого оранжевая с коричнево-фиолетовыми штрихами, массой до 100 г, не растрескиваются. Привлекательная окраска и вкус спелых плодов прекрасно разнообразят любую овощную нарезку.</t>
  </si>
  <si>
    <t>4601887452126</t>
  </si>
  <si>
    <t>Томат Клад овощевода 12шт. (П\ц)</t>
  </si>
  <si>
    <t>Высокая урожайность. Плоды с высоким содержание ликопина и антоциана. Индетерминантный среднеспелый гибрид для защищённого грунта. От всходов до начала созревания 105-110 дней. Плод плоскоокруглой формы, средней плотности, гладкий. При наступлении спелости зеленовато-коричневые плоды приобретают шоколадно-красный оттенок. Средняя масса 100-105 г. Шикарный гибрид с великолепным томатным вкусом. Для свежего потребления, соусов и паст.</t>
  </si>
  <si>
    <t>4601887361299</t>
  </si>
  <si>
    <t>Томат Красный камуфляж 12шт. (П\ц)</t>
  </si>
  <si>
    <t>Индетерминантный среднеспелый сорт для выращивания в защищенном грунте. Период от всходов до начала созревания 110-120 дней. Растение высокорослое, компактное, нуждается в подвязке и формировании, великолепно завязывает плоды в стрессовых условиях. Плоды массой 80-100 г, овальные, гладкие, плотные, в кисти по 6-8 штук. Сочетание оригинальной удлиненной формы и изысканного комбинирования в окраске терракотового и бронзово-зеленого цветов делает плод удивительно красивым. Вкусовые качества отличные.</t>
  </si>
  <si>
    <t>4601887307617</t>
  </si>
  <si>
    <t>Томат Лимонная искорка 10шт. (П\ц)</t>
  </si>
  <si>
    <t>Красивые плотные плоды оригинальной окраски для консервирования. Среднеспелый сорт для пленочных теплиц. Период от всходов до начала созревания 100-115 дней. Растение индетерминантное, высотой до 1,5-2 м. Плод округлый, желтый с зеленым штрихом, массой 50-60 г. Вкус отличный. Для свежего потребления и цельноплодного консервирования.</t>
  </si>
  <si>
    <t>4601887388067</t>
  </si>
  <si>
    <t>Томат Лунный фонтан 10 шт. (П\ц)</t>
  </si>
  <si>
    <t>Индетерминантный (более 2 м) раннеспелый гибрид для выращивания в открытом и защищенном грунте. Период от всходов до начала созревания 100-105 дней. Растение высокорослое, нуждается в подвязке и формировании в 1-2 стебля. Плоды светло-желтые, цилиндрической формы, гладкие, блестящие, массой 15-20 г, собраны в простые и сложные кисти по 15-30 штук, обладают сладким десертным вкусом с фруктовыми нотками. Устойчивы к растрескиванию и осыпанию. Рекомендуется для потребления в свежем виде и цельноплодного консервирования.</t>
  </si>
  <si>
    <t>4601887388074</t>
  </si>
  <si>
    <t>Томат Малиновый фонтан F1(сер.Вкуснотека) 10шт (П/ц)</t>
  </si>
  <si>
    <t>Черри-пальчики великолепного сладкого вкуса богатые ликопином. Обильный и неприхотливый раннеспелый гибрид для выращивания в открытом и защищенном грунте. Период от всходов до начала созревания 100-105 дней. Растение полудетерминантного типа роста (до 1,5 м), требует подвязки и формирования. Устойчив к фузариозному увяданию, вирусу мозаики томата. Плоды цилиндрической формы, малиновой окраски, гладкие, плотные, массой 20-30 г, собраны в простые и сложные кисти по 15-30 штук, не растрескиваются и не осыпаются. Обладают сладким десертным вкусом с фруктовыми нотками. Идеальны для свежего потребления, декорирования блюд и консервирования.</t>
  </si>
  <si>
    <t>4601887217725</t>
  </si>
  <si>
    <t>Томат Медовые росы 10 шт. (П\ц)</t>
  </si>
  <si>
    <t>Насыщенно оранжевый салатный томат с выдающимся вкусом. Среднеспелый сорт для пленочных теплиц. Период от всходов до созревания 115-120 дней. Растение высокорослое (150-200 см), требует формирования и подвязки. Плоды округлой или слегка плоскоокруглой формы, массой до 450 г. Очень вкусные, яркие, мясистые. Уникальный оранжевый цвет мякоти высоко ценится для приготовления супов и соусов.</t>
  </si>
  <si>
    <t>4601887217763</t>
  </si>
  <si>
    <t>Томат Медовый салют 10 шт. (П\ц)</t>
  </si>
  <si>
    <t>Насыщенный аромат, медовый вкус. Прекрасные двухцветные плоды отлично подходят для нарезки. Среднеспелый сорт для пленочных теплиц. Период от всходов до созревания 115-120 дней. Растение высокорослое, требует формирования и подвязки. Красивые, мясистые плоды плоскоокруглой формы, золотистого цвета с красными пятнами. Масса 320-450 (до 800) г. Для употребления в свежем виде.</t>
  </si>
  <si>
    <t>4601887361343</t>
  </si>
  <si>
    <t>Томат Оранжевый фонтан 10 шт. (П\ц)</t>
  </si>
  <si>
    <t>Индетерминантный (до 2 м) раннеспелый сорт для выращивания в открытом и защищенном грунте, нуждается в подвязке и формировании. От всходов до начала созревания 90-95 дней. Формирует длинные кисти с 14-28 плодами. Плод удлиненно-цилиндрической формы, плотный, ярко-оранжевый, блестящий, массой 15-20 г, с высоким содержанием сухих веществ. Является богатым источником антиоксидантов. Великолепен для свежего потребления, в салатах, при декорировании блюд и консервирования.</t>
  </si>
  <si>
    <t>4601887320050</t>
  </si>
  <si>
    <t>Томат Рафинад 10 шт.(П\ц)</t>
  </si>
  <si>
    <t>Биф томат. Среднеспелый гибрид для выращивания в плёночных теплицах и под плёночными укрытиями. Период от всходов до начала созревания 110-115 дней. Растение индетерминантное, высотой до 200 см, хорошо облиственное, плоды собраны в простую компактную кисть по 4-6 штук. Плод округлой формы, плотный, слаборебристый, красной окраски с глянцевым блеском. Масса плода - 250-300 г (до 400 г). Отличный вкус и аромат. Для свежего потребления. Устойчив к стрессовым условиям выращивания, к болезням увядания, вирусам, бурой листовой пятнистости.</t>
  </si>
  <si>
    <t>4601887380030</t>
  </si>
  <si>
    <t>Томат Розовый фрегат 10 шт. (П\ц)</t>
  </si>
  <si>
    <t>Раннеспелый гибрид для защищенного грунта. Период от всходов до начала созревания 105-110 дней. Растение высокорослое (более 180 см), нуждается в подвязке и формировании. В кисти формируется 6-8 плодов. Томаты округлые, выравненные по форме и размеру, плотные, гладкие, розовой окраски, с зернисто-сахарной сочной и очень вкусной мякотью, массой 120-160 г, устойчивы к растрескиванию, лежкие и транспортабельные. Рекомендуются для свежего потребления и консервирования.</t>
  </si>
  <si>
    <t>4601887217695</t>
  </si>
  <si>
    <t>Томат Сахарок 10 шт.(П\ц)</t>
  </si>
  <si>
    <t>Салатное  лакомство. Отличные вкусовые качества. Прекрасный размер для нарезки ломтиками для летних пикников. Среднеспелый сорт для пленочных теплиц. Растение высокорослое, требует формирования и подвязки.  Насыщенно красные плоды, слегка плоскоокруглой формы, слаборебристые  отличного вкуса. Масса 150-200 г, до 450 г. Для употребления в свежем виде и приготовления соусов.</t>
  </si>
  <si>
    <t>4601887268956</t>
  </si>
  <si>
    <t>Томат Сладкий фонтан F1 10шт (П/ц)</t>
  </si>
  <si>
    <t>Обилие вкусных красивых плодов. Раннеспелый, индетерминантный (150-200 см) гибрид для защищенного грунта. Требует подвязки и формирования. Период от всходов до начала плодоношения 95-100 дней. Плод эллиптический, гладкий, средней плотности, массой 18-20 г, красного цвета. Вкус отличный. Урожайный. Устойчив к фузариозному увяданию. Рекомендуется для потребления в свежем виде и цельноплодного консервирования.</t>
  </si>
  <si>
    <t>4601887217732</t>
  </si>
  <si>
    <t>Томат Сюрприз желтый 10 шт. (П\ц)</t>
  </si>
  <si>
    <t>Пленительный аромат. Красивый яркий цвет. Мягкий тонкий вкус. Среднеспелый сорт для пленочных теплиц. Растение высокорослое, требует формирования и подвязки.  Крупные плоды, плоскоокруглые, ребристые, жёлто-оранжевого цвета. Масса 200-250 г, до 300 г. Отличный вкус. Для употребления в свежем виде и приготовления соусов.
Стимулятор  плодообразования ТОМАТОН - гарантия высокого урожая при любых неблагоприятных условиях роста.</t>
  </si>
  <si>
    <t>4601887108672</t>
  </si>
  <si>
    <t>Томат Черничный Блюз 12 шт. (П\ц) 185799595</t>
  </si>
  <si>
    <t>Индетерминантный среднеспелый гибрид для выращивания в защищённом грунте. Период от всходов до начала созревания 105-115 дней. Устойчив к ВТМ и фузариозному увяданию. Плоды кубовидные, слаборебристые, плотные, в технической спелости зеленовато-фиолетовые, в биологической красно-бордовые с фиолетовыми разводами, массой 40-50 г, собраны в правильные, ровные кисти, не растрескиваются и не осыпаются. Приятного кисловато-сладкого вкуса. Для употребления в свежем виде, цельноплодного консервирования, идеальны для фарширования.</t>
  </si>
  <si>
    <t>4601887361336</t>
  </si>
  <si>
    <t>Томат Черничный Десерт 12 шт. (П\ц) 196989697</t>
  </si>
  <si>
    <t>Вкуснейшие плоды уникальной малиново-фиолетовой окраски с высоким содержанием ликопина и антоциана. Индетерминантный (более 2 м) среднеспелый сорт для выращивания в защищенном грунте. Период от всходов до начала созревания 110-120 дней. Растение среднерослое, нуждается в подвязке и формировании. В кисти 4-6 плодов. Плоды массой 90-120 г, слегка плоскоокруглые, слаборебристые. Окраска незрелого сформированного плода зеленая с крупным фиолетовым пятном у плодоножки, зрелого - малиново-фиолетовая. Плоды великолепного сладковатого вкуса, с легкой кислинкой и насыщенным ароматом, идеально подойдут для легких летних салатов, овощной нарезки и декорирования готовых блюд.</t>
  </si>
  <si>
    <t>4601887151234</t>
  </si>
  <si>
    <t>Томат Шоколадный фонтан (сер.Вкуснотека) (А) 10 шт.(П\ц) 182029689</t>
  </si>
  <si>
    <t>Индетерминантный раннеспелый сорт для защищённого грунта. От всходов до начала созревания 100-110 дней. Формирует компактную, простую кисть с 8-12 плодами массой 22-26 г. Плоды грушевидной формы с «носиком» на вершине, необычной фиолетово-коричневой окраски с зелёными штрихами (форма плодов может меняться в зависимости от условий выращивания). Очень сладкие, ароматные, с нежным фруктовым вкусом. Великолепно подходят для приготовления салатов и декорирования блюд, вяления и заготовок на зиму.</t>
  </si>
  <si>
    <t>4601887315094</t>
  </si>
  <si>
    <t>Томат Янтарная россыпь 0,1 гр. (П\ц)</t>
  </si>
  <si>
    <t>Хорошо завязывает плоды при неблагоприятных погодных условиях. Раннеспелый сорт для открытого грунта и временных пленочных укрытий. Период от всходов до начала созревания 85-95 дней. Растение детерминантное, штамбовое, высотой до 50 см. Плод округлый, с носиком, гладкий, оранжевого цвета. Масса плода 40-60 г. Вкус отличный. Для свежего потребления и цельноплодного консервирования.</t>
  </si>
  <si>
    <t>4601887002666</t>
  </si>
  <si>
    <t>Трава для кошек 10гр.(П\ц)</t>
  </si>
  <si>
    <t>Оригинальный набор культур. Быстрорастущая зелень, полученная из семян, пополнит рацион Ваших любимцев. Высаживать можно на окне, балконе и приусадебном участке. Содержимое пакета посеять в любой субстрат (речной песок, земля и др.), обильно полить. Зелень готова к употреблению через 10-15 дней. Кошки могут питаться как с грядки, так и срезанной, измельчённой травой, которую добавляют в корм. Выращивать свежую зелень можно круглый год.</t>
  </si>
  <si>
    <t>4601887014973</t>
  </si>
  <si>
    <t>Тыква Дачная (сиб. сер) 10 шт. (Поиск)</t>
  </si>
  <si>
    <t>Высокая урожайность, скороспелость, короткоплетистость, выравненность плодов. Вид твердокорая. Раннеспелый столовый сорт. Период от полных всходов до начала плодоношения 70-85 дней. Растение короткоплетистое, компактное. Длина главной плети средняя. Плод овальный или обратнояйцевидной формы. Поверхность сегментированная. Окраска фона зрелого плода желтая. Рисунок - оранжевые прерывистые фестончатые темно-зеленые полосы. Кора средней толщины, деревянистая. Мякоть оранжевая, средней толщины, плотная, нежная, сладкая, сочная, с ароматом ванили. Масса 3,5-5 кг. Сохраняет товарные и вкусовые качества в течение 120 дней после съема.</t>
  </si>
  <si>
    <t>4601887133278</t>
  </si>
  <si>
    <t>Тыква декоративная Восточный тюрбан 5 шт.(П\ц)</t>
  </si>
  <si>
    <t>Декоративные плоды яркой расцветки в форме напоминающей грибы. Растение длиной до 300 см. Плоды в сухом виде служат великолепным украшением различных композиций</t>
  </si>
  <si>
    <t>4601887320074</t>
  </si>
  <si>
    <t>Тыква Масляный Король 10 шт. (П/ц)*</t>
  </si>
  <si>
    <t>Вид крупноплодная. Среднеспелый сорт столового назначения, период от всходов до первого сбора плодов 100-120 дней. Растение мощное, среднеплетистое. Плоды кубовидной формы, светло-кремового цвета, массой 2,5 – 4 кг (до 12 кг). Мякоть толстая, оранжевая, крахмалистая, легко режется (как масло). Идеально подходит как начинка для пирогов и выпечки, приготовления пюре и джема.</t>
  </si>
  <si>
    <t>4601887388029</t>
  </si>
  <si>
    <t>Тыква Турецкая чалма, крупноплодная  (декор. огород)  5шт. (П/ц)*</t>
  </si>
  <si>
    <t>Красивые плоды идеальны для фарширования. Среднеспелый засухоустойчивый сорт универсального назначения. Период от всходов до первого сбора плодов 95-100 дней. Растение мощное, плетистое. Плод чалмовидный, массой 1-3 кг (до 4 кг), бугристый, сегментированный, с выпуклой вершиной, верх ярко-оранжевый с продольными зелеными полосами, низ – светло-бежевый. Семенная камера маленькая. Мякоть оранжевая, нежная, распадающаяся на волокна, отличного вкуса, её варят, тушат, запекают. Плоды идеальны для фарширования.</t>
  </si>
  <si>
    <t>4601887211693</t>
  </si>
  <si>
    <t>Укроп Геркулес (Семетра) (П/ц)</t>
  </si>
  <si>
    <t>Среднеспелый сорт: 40-45 дней – от полных всходов до уборки на зелень, 65-70 дней – до цветения. Розетка листьев прямостоячая, слегка раскидистая. Листья зелёные, со слабым восковым налётом и сильным ароматом. Посев в несколько сроков за сезон. Универсальное использование.</t>
  </si>
  <si>
    <t>4601887243656</t>
  </si>
  <si>
    <t>Укроп Гладиатор 2 гр. (П\ц)</t>
  </si>
  <si>
    <t>Среднепоздний кустовой сорт (45-50 дней от всходов до уборки на зелень, 100-110 дней – на специи). Облиственность сильная. Лист крупный, сизо-зеленый, сильнорассеченный, очень ароматный, насыщенного вкуса. Масса растения на зелень – 20-25 г, на специи – 55-60 г. Сорт отличается поздним стрелкованием. Идеален в свежем виде и как приправа.</t>
  </si>
  <si>
    <t>4601887211716</t>
  </si>
  <si>
    <t>Укроп Салют 3 гр. (Семетра) (П/ц)</t>
  </si>
  <si>
    <t>Уникальный сорт укропа, относящийся к типу не желтеющих укропов. Позднеспелый. Период от всходов до срезки на зелень 55-65 дней. Формирует мощный облиственный куст. Листья крупные,  длина 28-36 см, ширина 30-36 см, зеленые с восковым налетом. Взрослое растение достигает высоты 120-135 см. Возможно выращивание рассадным способом (20-ти дневная рассада).</t>
  </si>
  <si>
    <t>4601887211723</t>
  </si>
  <si>
    <t>Укроп Симфония 3 гр. (Семетра) (П\ц)</t>
  </si>
  <si>
    <t>Среднеспелый сорт. Период от всходов до срезки на зелень 40-45 дней. Розетка листьев полуприподнятая. Лист среднего размера, зеленый, среднерассеченный. Растение в фазе цветения высотой 130-140 см, раскидистое, сильнооблиственное. Зонтик среднего размера, выпуклый, многолучевой. Масса одного растения при уборке на зелень 25-30 г. Ароматичность хорошая.</t>
  </si>
  <si>
    <t>4601887211747</t>
  </si>
  <si>
    <t>Укроп Фейерверк (А) (Семетра) 3 гр.(П\ц)</t>
  </si>
  <si>
    <t>Кустовой сорт образует 3-4 стебля из узла кущения. Период от всходов до уборки на зелень 35-45 дней, до цветения 55-60 дней, до созревания семян 110-115 дней. Листья темно-зеленные, среднего размера, пышные, с прекрасным сладковато-укропным ароматом.</t>
  </si>
  <si>
    <t>4601887204169</t>
  </si>
  <si>
    <t>Фасоль вьющаяся смесь окрасок (декоративн.) 5 шт.(П\ц)</t>
  </si>
  <si>
    <t>Великолепное вьющееся растение! Стебли тонкие, вьющиеся, поднимаются на высоту 2,5 м. Листья многочисленные, темно-зелёные. Цветы белые, лососево-розовые, оранжево-красные. Цветёт обильно с июля до сентября. Декоративную ценность представляют и плоды растения – крупные, шероховатые бобы. Используют для вертикального озеленения и устройства пирамид на газонах.</t>
  </si>
  <si>
    <t>4601887020769</t>
  </si>
  <si>
    <t>Ц Абутилон гибр.Смесь Бельвю (П\ц)</t>
  </si>
  <si>
    <t>Комнатный клен. Обильно ветвящийся кустарник высотой 90 см, цветущий летом и осенью. Листья зеленые, кленовой формы. Крупные колоколообразные цветки различной окраски.</t>
  </si>
  <si>
    <t>4601887304845</t>
  </si>
  <si>
    <t>Ц Агератум Романтик (одн) 0,1гр.(П\ц)</t>
  </si>
  <si>
    <t>Аккуратные пушистые соцветия. Компактный кустик высотой до 30 см. Листья крупные, опушенные. Соцветия среднеплотные, крупные 1,5-2 см в диаметре. Смесь состоит из розовой и белой окраски. Сорт цветет с середины июня до октября. Хорошо переносит стрижку. Используют для оформления цветников различного назначения.</t>
  </si>
  <si>
    <t>4601887096238</t>
  </si>
  <si>
    <t>Ц Алиссум Мэджик циклес микс 0,1 гр.(П\ц)</t>
  </si>
  <si>
    <t>Яркая смесь с медовым запахом для ковровых цветников и обрамления цветочных бордюров. Растение невысокое, до 15 см. Образует плотный, стелющийся ковёр. Цветы мелкие многочисленные. Цветет с июня до осени. Для непрерывного цветения периодически удаляют увядшие цветы и плоды. Используют для обрамления клумб, балконных ящиков, на каменистых горках, рокариях.</t>
  </si>
  <si>
    <t>4601887450573</t>
  </si>
  <si>
    <t>Ц Астра Царица Абрикосовая хризантемовидная 0,1 гр. (П\ц)</t>
  </si>
  <si>
    <t>Превосходная хризантемовидная серия для срезки! Растение высотой 50-60 см. Формирует до 10 прочных цветоносов. Соцветия диаметром 10-12 см, густомахровые, напоминающие шаровидной формой хризантемы. Благодаря густорастущим лепесткам не подвергается проникновению дождя. Окраска абрикосовая. Высокая устойчивость к неблагоприятным погодным условиям. Цветение август-сентябрь. Идеально подходит для срезки. Исключительная жизнестойкость в вазе (до 2 недель). Также великолепно смотрится в цветниках.</t>
  </si>
  <si>
    <t>4601887450559</t>
  </si>
  <si>
    <t>Ц Астра Царица Белая хризантемовидная 0,1 гр. (П\ц)</t>
  </si>
  <si>
    <t>Превосходная хризантемовидная серия для срезки! Растение высотой 50-60 см. Формирует до 10 прочных цветоносов. Соцветия диаметром 10-12 см, густомахровые, напоминающие шаровидной формой хризантемы. Благодаря густорастущим лепесткам не подвергается проникновению дождя. Окраска белая. Высокая устойчивость к неблагоприятным погодным условиям. Цветение август-сентябрь. Идеально подходит для срезки. Исключительная жизнестойкость в вазе (до 2 недель). Также великолепно смотрится в цветниках.</t>
  </si>
  <si>
    <t>4601887450566</t>
  </si>
  <si>
    <t>Ц Астра Царица Желтая хризантемовидная 0,1 гр. (П\ц)</t>
  </si>
  <si>
    <t>Превосходная хризантемовидная серия для срезки! Растение высотой 50-60 см. Формирует до 10 прочных цветоносов. Соцветия диаметром 10-12 см, густомахровые, напоминающие шаровидной формой хризантемы. Благодаря густорастущим лепесткам не подвергается проникновению дождя. Окраска жёлтая. Высокая устойчивость к неблагоприятным погодным условиям. Цветение август-сентябрь. Идеально подходит для срезки. Исключительная жизнестойкость в вазе (до 2 недель). Также великолепно смотрится в цветниках.</t>
  </si>
  <si>
    <t>4601887450511</t>
  </si>
  <si>
    <t>Ц Астра Царица Карминная хризантемовидная 0,1 гр. (П\ц)</t>
  </si>
  <si>
    <t>Превосходная хризантемовидная серия для срезки! Растение высотой 50-60 см. Формирует до 10 прочных цветоносов. Соцветия диаметром 10-12 см, густомахровые, напоминающие шаровидной формой хризантемы. Благодаря густорастущим лепесткам не подвергается проникновению дождя. Окраска карминно-красная. Высокая устойчивость к неблагоприятным погодным условиям. Цветение август-сентябрь. Идеально подходит для срезки. Исключительная жизнестойкость в вазе (до 2 недель). Также великолепно смотрится в цветниках.</t>
  </si>
  <si>
    <t>4601887450504</t>
  </si>
  <si>
    <t>Ц Астра Царица Пурпурная хризантемовидная 0,1 гр. (П\ц)</t>
  </si>
  <si>
    <t>Превосходная хризантемовидная серия для срезки! Растение высотой 50-60 см. Формирует до 10 прочных цветоносов. Соцветия диаметром 10-12 см, густомахровые, напоминающие шаровидной формой хризантемы. Благодаря густорастущим лепесткам не подвергается проникновению дождя. Окраска пурпурная. Высокая устойчивость к неблагоприятным погодным условиям. Цветение август-сентябрь. Идеально подходит для срезки. Исключительная жизнестойкость в вазе (до 2 недель). Также великолепно смотрится в цветниках.</t>
  </si>
  <si>
    <t>4601887450528</t>
  </si>
  <si>
    <t>Ц Астра Царица Синяя хризантемовидная 0,1 гр. (П\ц)</t>
  </si>
  <si>
    <t>Превосходная хризантемовидная серия для срезки! Растение высотой 50-60 см. Формирует до 10 прочных цветоносов. Соцветия диаметром 10-12 см, густомахровые, напоминающие шаровидной формой хризантемы. Благодаря густорастущим лепесткам не подвергается проникновению дождя. Окраска синяя. Высокая устойчивость к неблагоприятным погодным условиям. Цветение август-сентябрь. Идеально подходит для срезки. Исключительная жизнестойкость в вазе (до 2 недель). Также великолепно смотрится в цветниках.</t>
  </si>
  <si>
    <t>4601887087199</t>
  </si>
  <si>
    <t>Ц Бальзамин Том Самб фиолетовый (комн) 0,1 гр (П\ц)</t>
  </si>
  <si>
    <t>Непревзойденное растение для полутенистых мест. Компактный кусте густой листвой, высотой около 20 см. Цветы очень изящные махровые фиолетовые. Цветет обильно с июня по сентябрь. Используют для клумб, рабаток, на срезку и как горшечную культуру.</t>
  </si>
  <si>
    <t>4601887018278</t>
  </si>
  <si>
    <t>Ц Бархатцы Красный самоцвет тонколистн. (П\ц)</t>
  </si>
  <si>
    <t>Обилие цветков вызывает восхищение. Изящный шаровидный куст, очень ветвистый, с тонкими стеблями и темно-зелеными перисто-рассеченными листьями, высотой 25-30 см. Соцветия плоские, немахровые, диаметром 2 см, темно-красные. Растение светолюбивое, засухоустойчивое. Предпочитает плодородные и солнечные места (может расти при небольшом затенении). Используют для обрамления клумб, бордюров и украшения балконов</t>
  </si>
  <si>
    <t>4601887109983</t>
  </si>
  <si>
    <t>Ц Бархатцы Паприка тонколистн. (П\ц)</t>
  </si>
  <si>
    <t>Обилие миниатюрных цветов вызывает восхищение! Изящный шаровидный куст, сильно ветвистый, высотой около 20-25 см. Соцветия немахровые, диаметром около 2 см, шарлахово-красные с жёлтой серединкой. Используют для обрамления клумб, бордюров, в миксбордерах и для украшения балконов</t>
  </si>
  <si>
    <t>4601887206989</t>
  </si>
  <si>
    <t>Ц Бархатцы Хохлома Красные 0,4 гр.(П\ц)</t>
  </si>
  <si>
    <t>Изобилие ярких цветов. Куст густооблиственный высотой до 40 см. Побеги прочные, зелёные. Соцветия махровые, диаметр 4-5 см, махогоново-красные. Цветёт с июня по сентябрь. Используют для клумб, рабаток, бордюров и украшения балконов.</t>
  </si>
  <si>
    <t>4601887018247</t>
  </si>
  <si>
    <t>Ц Бархатцы Шаловливая Мариэтта отк. немахровые 0,4 гр. (П\ц)</t>
  </si>
  <si>
    <t>Традиционно популярный сорт. Куст компактный, густоветвистый, высотой 30-40 см. Соцветия плоские, немахровые, диаметром 5 см. Окраска язычковых цветков двуцветная: золотисто-желтая с большим коричнево-красным пятном у основания. Цветет с июня по октябрь.</t>
  </si>
  <si>
    <t>4601887027294</t>
  </si>
  <si>
    <t>Ц Буддлея Давида Смесь окрасок (П\ц)</t>
  </si>
  <si>
    <t>Великолепные соцветия с медовым ароматом! Быстро растет. В средней полосе России листопадный полукустарник (надземная часть почти полностью отмерзает). Каждую весну отрастают новые побеги на длину 1,5-1,8 м. Листья ланцетные, до 25 см длиной. Цветы собраны в густые колосовидные соцветия до 40 см длиной. Цветет обильно в конце лета и осенью в течение 30-45 дней.</t>
  </si>
  <si>
    <t>4601887047285</t>
  </si>
  <si>
    <t>Ц Василек Карлик Красный 0,1гр.(П\ц)</t>
  </si>
  <si>
    <t>Любимый цветок многих народов мира. Красивое стройное растение высотой 20-25 см. Махровые цветки собраны в соцветия-корзинки диаметром 4 см. Цветет с июня по сентябрь. Используют для оформления цветников и альпийских горок.</t>
  </si>
  <si>
    <t>4601887295266</t>
  </si>
  <si>
    <t>Ц Василек Мон Амур 1 гр. (П\ц)</t>
  </si>
  <si>
    <t>Гармоничная и привлекающая внимание смесь. Соцветия небесно-голубой и красной окраски. Растения высотой 80-100 см. Цветет с июня по сентябрь. Прекрасно подойдет для высоких бордюров, цветников в ландшафтном стиле, срезки.</t>
  </si>
  <si>
    <t>4601887181507</t>
  </si>
  <si>
    <t>Ц Вербена Кварц Блю (Семена Профи) 10 шт. (П/ц)</t>
  </si>
  <si>
    <t>Яркие шары соцветий! Высота растения - 20 см. Крупные соцветия диаметром 5-7 см. Окраска - синяя. Растения выравнены по высоте и срокам цветения. Обильно цветут с июня по октябрь. Прекрасно смотрятся в бордюрах, цветниках, рабатках и балконных ящиках.</t>
  </si>
  <si>
    <t>4601887084419</t>
  </si>
  <si>
    <t>Ц Вербена Кварц Парпл (Семена Профи) 10 шт (П/ц)</t>
  </si>
  <si>
    <t>Яркие шары соцветий! Высота растения 20 см. Крупные соцветия диаметром 5-7 см. Окраска пурпурно-фиолетовая. Растения выравнены по высоте и срокам цветения. Обильно цветут с июня по октябрь. Прекрасно смотрятся в бордюрах, цветниках, рабатках и балконных ящиках.</t>
  </si>
  <si>
    <t>4601887079590</t>
  </si>
  <si>
    <t>Ц Гайлардия Лоллипап двухцветная 0,1гр.(П\ц)</t>
  </si>
  <si>
    <t>Привлекательные шары. Растение раскидистое, опушенное мягкими волосками, высотой 30-35 см. Соцветия до 6-7 см в диаметре, на длинных, тонких цветоносах. Язычковые цветки ланцетовидные, зубчатые, желто-красные. Трубчатые цветки желтые и красно-коричневые. Цветет обильно с июля по ноябрь. Используют для групп, рабаток, миксбордеров и срезки</t>
  </si>
  <si>
    <t>4601887100461</t>
  </si>
  <si>
    <t>Ц Гвоздика Лара Турецкая 0,3 гр (П\ц)</t>
  </si>
  <si>
    <t>Редкая окраска! Растение высотой до 50 см. Листья линейно-ланцетные, зеленые. Окраска насыщенно-красная с белым глазком. К концу 1-го года выращивания образуется розетка прикорневых листьев. На следующий год растения цветут с конца июня в течение месяца. Используют для сборных цветников, рабаток и для срезки.</t>
  </si>
  <si>
    <t>4601887097723</t>
  </si>
  <si>
    <t>Ц Гвоздика Нигриканс турецкая 0,3 гр (П\ц)</t>
  </si>
  <si>
    <t>"Темная красотка" позволит Вам осуществить самые смелые решения в дизайне сада! Растения высотой 50 см. Темно-бордовые цветы собраны в плотные шапковидные соцветия. Листья линейно-ланцетные, меняют цвет от темно-зеленого к бордовому. К концу 1-го года выращивания образуется розетка прикорневых листьев. На следующий год растения цветут с конца июня в течение месяца. Используют для сборных цветников, рабаток и для срезки.</t>
  </si>
  <si>
    <t>4601887112228</t>
  </si>
  <si>
    <t>Ц Гелихризум Низкорослая смесь (П\ц)</t>
  </si>
  <si>
    <t>Новое оригинальное применение для классического сухоцвета! Компактное ветвистое растение высотой около 30 см. Листья ланцетные сидячие. Соцветия корзинки в ярких листочках обертках самых разнообразных окрасок. Цветет обильно с июля до заморозков. Прекрасно подходит для контейнерной культуры, используют в самых различных цветниках, как бордюрное растение. Великолепный сухоцвет, незаменим для сухих букетов.</t>
  </si>
  <si>
    <t>4601887377795</t>
  </si>
  <si>
    <t>Ц Доротеантус Бэмби красный маргаритковидный 0,1 гр. (П/ц)</t>
  </si>
  <si>
    <t>Яркий ковёр на альпийской горке! Сильное компактное, обильноцветущее растение высотой 10 см. Образует ползучие побеги с толстыми мясистыми листьями. Цветы крупные, диаметром около 5 см, красные.</t>
  </si>
  <si>
    <t>4601887365921</t>
  </si>
  <si>
    <t>Ц Календула Ириска Желтая низкорослая 10 шт. (П\ц)</t>
  </si>
  <si>
    <t>Необычная форма цветка! Растение компактное высотой 30 см. Крупные полушаровидные махровые соцветия с закрученными лепестками оригинальной лучистой формы. Окраска - жёлтая. Размер цветка – 8 см. Неприхотлива, отличается обильным и длительным цветением, великолепно подходит для посадки в группах, рабатках, хорошо смотрится в балконных ящиках.</t>
  </si>
  <si>
    <t>4601887039211</t>
  </si>
  <si>
    <t>Ц Календула Оранжевый король махровая (П\ц)</t>
  </si>
  <si>
    <t>Яркие крупные цветки. Куст густоветвистый, высотой до 60 см. Соцветия махровые, 7-8 см в диаметре, плотные, черепитчатые, ярко-оранжевые с темным центром. Обильно цветет в июле-сентябре. Используют для клумб, рабаток, бордюров и срезки.</t>
  </si>
  <si>
    <t>4601887251316</t>
  </si>
  <si>
    <t>Ц Катарантус Казанова 10 шт (П/ц)</t>
  </si>
  <si>
    <t>Декоративная культура. Ее цветение обеспечено даже в условиях невыносимо жаркого климата. Высота компактных растений составляет всего 25-30 см.</t>
  </si>
  <si>
    <t>4601887056799</t>
  </si>
  <si>
    <t>Ц Катарантус Пацифика Оранж 10 шт (П/ц)</t>
  </si>
  <si>
    <t>Ранняя крупноцветковая серия! Прекрасно подходит для выращивания в условиях жаркого и сухого климата. Растение компактное, высотой 25 см с отличным базальным ветвлением. Диаметр цветка 4 см. Окраска красно-оранжевая. Хорошо переносит как засушливую, так и дождливую погоду. Идеально подходит для выращивания в южных регионах. Украсит как клумбу или цветник, так и горшки и вазоны.</t>
  </si>
  <si>
    <t>4601887088448</t>
  </si>
  <si>
    <t>Ц Катарантус Смесь окрасок 0,1 гр. (П/ц)</t>
  </si>
  <si>
    <t>Эффектное и компактное растение. Обильно цветущие кустики высотой 30-35 см. Листья овальные с белой срединной полосой. Цветки белые, розовые или красные. Любит обилие света, хороший полив и регулярные подкормки.</t>
  </si>
  <si>
    <t>4601887377900</t>
  </si>
  <si>
    <t>Ц Катарантус Султан розовый 0,1 гр. (П/ц)</t>
  </si>
  <si>
    <t>Эффектное растение (в переводе с греческого "безупречный цветок"). Высота растения - 40 см. Крупные розовые цветки выигрышно смотрятся на контрастной глянцевой тёмно-зеленой листве. Цветение обильное. Идеальное растение для выращивания в жарких регионах, устойчиво к засухе. Великолепно смотрится в горшках, вазонах и в открытом грунте. Растение теплолюбивое, хорошо растет на открытых солнечных местах или в полутени. Обильно цветёт на лёгких, плодородных почвах.</t>
  </si>
  <si>
    <t>4601887377962</t>
  </si>
  <si>
    <t>Ц Космея Ракушка красная 0,1 гр. (П\ц)</t>
  </si>
  <si>
    <t>Оригинальная форма соцветий. Декоративное растение с ажурными сильнорассечёнными листьями, высотой до 120 см. Цветки собраны в соцветия-корзинки диаметром 7-10 см и расположены одиночно на концах стеблей. Язычковые цветки насыщенно-красного цвета, свернуты в трубочку. Трубчатые в центре соцветия - желтые. Применяют для посадки на заднем плане цветников, декорирования оград и для срезки. Цветет с июля по октябрь.</t>
  </si>
  <si>
    <t>4601887030362</t>
  </si>
  <si>
    <t>Ц Лобелия Голубой фонтан плетистая 0,1гр.(П\ц)</t>
  </si>
  <si>
    <t>Украсит любой сад. Красивое травянистое растение, образует плотные кустики высотой всего 10-12 см, с эффектными темно-синими с белым зевом цветками. Цветение обильное и продолжительное с середины июня по октябрь. Используют для обрамления клумб, бордюров, рокарий, балконных ящиков.</t>
  </si>
  <si>
    <t>4601887116806</t>
  </si>
  <si>
    <t>Ц Лобелия Сапфир плетистая (П\ц)</t>
  </si>
  <si>
    <t>Россыпь изысканных драгоценностей! Красивое травянистое растение со свисающими побегами (длиной до 30 см). Листья ланцетные, зеленые. Цветы небольшие голубые с белым глазком. Цветет очень обильно с июня по сентябрь. Используют для подвесных корзин, балконных ящиков, как почвопокровное растение.</t>
  </si>
  <si>
    <t>4601887415770</t>
  </si>
  <si>
    <t>Ц Лунария Смесь окр. 0,2гр.(П\ц)</t>
  </si>
  <si>
    <t>Необычные плоды - пленчатые стручки с прозрачной перламутровой перегородкой. Растение высотой до 90 см. Цветки белые и красновато - фиолетовые собраны в простую метелку. Цветет с мая до середины июня. Используют для работок и групп, зимних букетов. Предпочитает солнечные места, но выдерживает полутень, рыхлые и плодородные почвы.</t>
  </si>
  <si>
    <t>4601887029793</t>
  </si>
  <si>
    <t>Ц Молочай окаймленный 0,2 гр. (П\ц)</t>
  </si>
  <si>
    <t>Это растение называют «снег на горах». В период цветения края верхних листьев белеют, что делает все растение очень декоративным. Прямостоячие стебли до 65 см высотой. Листья овальные, светло-зеленые, до 4 см длиной. Цветки мелкие, невзрачные, окружены прицветниками с широкими, белыми придатками. Цветет с июля до заморозков. Посадками этих растений разделяют в цветниках плохо сочетающиеся окраски других растений. Используют для срезки.</t>
  </si>
  <si>
    <t>4601887031352</t>
  </si>
  <si>
    <t>Ц Настурция Красный блик большая (П\ц)</t>
  </si>
  <si>
    <t>Обилие махровых цветов. Полустелющиеся побеги длиной до 1,5 м. Цветы алые, шпорцы длинные, чуть изогнутые. Цветет обильно с июня до заморозков. Используют для вертикального озеленения, балконных ящиков.</t>
  </si>
  <si>
    <t>4601887060567</t>
  </si>
  <si>
    <t>Ц Настурция Оранжевый блик большая 1гр.(П\ц)</t>
  </si>
  <si>
    <t>Обилие махровых цветов. Полустелющиеся побеги длиной до 1,5 м. Цветы оранжевые. Шпорцы длинные, чуть изогнутые. Цветет обильно с июня до заморозков. Используют для вертикального озеленения, балконных ящиков.</t>
  </si>
  <si>
    <t>4601887022459</t>
  </si>
  <si>
    <t>Ц Настурция Розовая вишня низкорослая (П\ц)</t>
  </si>
  <si>
    <t>Обилие махровых и полумахровых цветов. Однолетник. Кустик компактный, прямостоячий, до 30 см высотой. Цветы розово- вишневые, расположены поверх листьев, венчики направлены вверх. Цветет обильно с июля по октябрь.</t>
  </si>
  <si>
    <t>4601887378044</t>
  </si>
  <si>
    <t>Ц Немезия Дуэт 0,05 гр. (П\ц)</t>
  </si>
  <si>
    <t>Изящные компактные кустики с множеством миниатюрных цветов! Популярное клумбовое растение, сильноветвистое, высотой 20-30 см. Смесь состоит из белой и красной окрасок. Цветет обильно с июня по сентябрь. Используют для рабаток, бордюров и балконных ящиков.</t>
  </si>
  <si>
    <t>4601887244035</t>
  </si>
  <si>
    <t>Ц Немезия Макарена 0,05 гр. (П\ц)</t>
  </si>
  <si>
    <t>Популярное клумбовое растение, сильноветвистое, высотой 20-30 см. Цветы, диаметром до 2,5 см, красно-белые. Цветет обильно с июня по сентябрь. Используют для рабаток, бордюров и балконных ящиков.</t>
  </si>
  <si>
    <t>4601887026563</t>
  </si>
  <si>
    <t>Ц Немезия Победная песнь смесь зобовидная (П\ц)</t>
  </si>
  <si>
    <t>Популярное клумбовое растение, сильноветвистое, высотой 20-30 см. Цветы, диаметром до 2,5 см, разнообразной окраски. Цветет обильно с июня по сентябрь. Используют для рабаток, бордюров и балконных ящиков.</t>
  </si>
  <si>
    <t>4601887021834</t>
  </si>
  <si>
    <t>Ц Немофила менциса Голубая 0,09 гр. (П\ц)</t>
  </si>
  <si>
    <t>Обильное цветение. Растение со стелющимися побегами высотой до 15 см. Листья удлиненной формы, перистые. Цветки одиночные до 4 см в диаметре, расположены в листовых пазухах, небесно-голубые с белым зевом. Цветет с июня по сентябрь. Используют в бордюрах, низких группах и миксбордерах.</t>
  </si>
  <si>
    <t>4601887029625</t>
  </si>
  <si>
    <t>Ц Овсяница сизая Голубая 0,1 гр. (П\ц)</t>
  </si>
  <si>
    <t>Великолепное почвопокровное или альпийское растение на сухих и бедных почвах. Невысокая многолетняя трава с сине-серыми листьями. Образует полукруглый пышный куст высотой 40 см. Лист узкий, линейный, стально-синего цвета. Соцветия серо-зеленые, в мягких метелках на прямом стебле, после цветения становятся светло-коричневыми. Цветет в июне-июле. Используют по одному или малыми группами, в каменистых садах, в ковровых цветниках, для окаймления цветочных клумб, в газонных травосмесях.</t>
  </si>
  <si>
    <t>4601887102236</t>
  </si>
  <si>
    <t>Ц Остеоспермум Небо и лед 0,1 гр. (П\ц)</t>
  </si>
  <si>
    <t>Удивительные соцветия – белые лучи вокруг темно-синего диска. Растение 30 см высотой. Цветет очень обильно и продолжительно – с июля и до конца сентября. Используют в группах, миксбордерах, рабатках.</t>
  </si>
  <si>
    <t>4601887410218</t>
  </si>
  <si>
    <t>Ц Петуния Дабл Каскад Валентин 10 шт. (П\ц)</t>
  </si>
  <si>
    <t>Великолепный гибрид с крупными махровыми цветами. Растение высотой 25-30 см хорошо ветвится. Цветы махровые красные, диаметром 9-10 см, с бахромчатыми краями лепестков. Цветение с июня до заморозков. Прекрасно подходит для клумб, рабаток.</t>
  </si>
  <si>
    <t>4601887126058</t>
  </si>
  <si>
    <t>Ц Петуния Опера Белая ампельная 5 шт. (П\ц)</t>
  </si>
  <si>
    <t>Привлекательная петуния для подвесных кашпо. Растения формируют побеги, достигающие в длину 70-80 см со множеством крупных цветов. Цветы эффектные, диаметром 5-6 см, нарядные белые. Цветет обильно с июня по октябрь.Великолепно подходит для подвесных корзин, балконных ящиков.</t>
  </si>
  <si>
    <t>4601887056881</t>
  </si>
  <si>
    <t>Ц Петуния Опера Парпл Вейн, ампельная  5шт.(П/ц)</t>
  </si>
  <si>
    <t>Привлекательная ампельная петуния с крупными цветами! Молодые растения прямостоячие, вырастая, свешиваются и образуют лавину из цветов (побеги достигают длины 70-80 см). Цветы эффектные, диаметром 8 см. Окраска - сиреневая с фиолетовыми жилками. Цветет обильно с июня по октябрь. Великолепно подходит для подвесных корзин, балконных ящиков.</t>
  </si>
  <si>
    <t>4601887126089</t>
  </si>
  <si>
    <t>Ц Петуния Опера Синяя ампельная 5 шт.(П\ц)</t>
  </si>
  <si>
    <t>Привлекательная ампельная петуния с крупными цветами. Молодые растения прямостоячие, вырастая, свешиваются и образуют лавину из цветов(побеги достигают длины 70-80см). Цветы эффектные, диаметром 8 см, синей окраски. Цветет обильно с июня по октябрь.</t>
  </si>
  <si>
    <t>4601887102762</t>
  </si>
  <si>
    <t>Ц Петуния Пируэт Парпл махровая 10 шт.(П\ц)</t>
  </si>
  <si>
    <t>Компактный куст, высотой 12-15 см, с огромными цветками 10-13 см в диаметре. Цветки махровые, с сильно гофрированными лепестками. Цветущее растение имеет необыкновенно эффектный вид.</t>
  </si>
  <si>
    <t>4601887103820</t>
  </si>
  <si>
    <t>Ц Петуния Пируэт Роуз махровая 10 шт. (П\ц)</t>
  </si>
  <si>
    <t>Великолепный гибрид с крупными махровыми цветами. Растение высотой 25-30 см хорошо ветвится. Цветы махровые розово-малинового цвета с эффектной белой окантовкой по краю лепестков. Диаметр цветка 8-10 см. Цветение с июня до заморозков. Прекрасно подходит для клумб, рабаток.</t>
  </si>
  <si>
    <t>4601887002475</t>
  </si>
  <si>
    <t>Ц Пиретрум Гиганты Робинсона красный (мн)  0,2гр.(П\ц)</t>
  </si>
  <si>
    <t>Популярный сорт с крупными корзинками. Растение высотой до 80 см. Крупные, 8-10 см в диаметре, ромашковидные соцветия с розовыми и карминными лучами. Цветет с первой половины июня в течение месяца. Используются для групповых посадок в цветники и на газоны, рядами на рабатки, а также для срезки в букеты.</t>
  </si>
  <si>
    <t>4601887100621</t>
  </si>
  <si>
    <t>Ц Примула бесстебельная Весенняя мелодия Красная 10 шт.(П\ц)</t>
  </si>
  <si>
    <t>Растения высотой около 15 см. Морщинистые зеленые листья собраны в прикорневую розетку. Цветки крупные, яркие, красные с контрастным центром. Используют для бордюров, клумб, в композициях с камнями. Эффектно выглядит под деревьями и кустарниками. Предпочитает затененные места с легкими питательными дренированными почвами. На одном месте растет 5-7 лет. Размножают осенним или весенним посевом семян в открытый грунт.</t>
  </si>
  <si>
    <t>4601887100638</t>
  </si>
  <si>
    <t>Ц Примула бесстебельная Весенняя мелодия Розовая 10 шт.(П\ц)</t>
  </si>
  <si>
    <t>Растения высотой около 15 см. Морщинистые зеленые листья собраны в прикорневую розетку. Цветки крупные, яркие, розовые с контрастным центром. Используют для бордюров, клумб, в композициях с камнями. Эффектно выглядит под деревьями и кустарниками. Предпочитает затененные места с легкими питательными дренированными почвами. На одном месте растет 5-7 лет. Размножают осенним или весенним посевом семян в открытый грунт.</t>
  </si>
  <si>
    <t>4601887015567</t>
  </si>
  <si>
    <t>Ц Примула высокая Смесь окрасок 0,01гр. (П\ц)</t>
  </si>
  <si>
    <t>Парад ярких красок. Растение высотой до 30 см. Морщинистые листья резко сужены в крылатые черешки. Цветочная стрелка 20-30 см высотой. Цветки разнообразной окраски, до 2,5 см в диаметре, собраны по 7-10 штук в зонтиковидные соцветия.</t>
  </si>
  <si>
    <t>4601887360704</t>
  </si>
  <si>
    <t>Ц Примула Розелла Микс махровая 5шт. (П\ц)</t>
  </si>
  <si>
    <t>Очаровательная махровая примула! Цветы сформированы в изысканные миниатюрные бутоны, напоминающие розы, которые располагаются над листвой. Размер цветка 2-2,5 см, разнообразной окраски. Высота растения 12-15 см. Прекрасно подходит для горшечной культуры, летом можно высаживать в открытый грунт и балконные ящики. Цветки сохраняют свою форму в широком диапазоне температур.</t>
  </si>
  <si>
    <t>4601887360711</t>
  </si>
  <si>
    <t>Ц Примула Розелла Парпл махровая 5шт. (П\ц)</t>
  </si>
  <si>
    <t>Очаровательная махровая примула! Цветы сформированы в изысканные миниатюрные бутоны, напоминающие розы, которые располагаются над листвой. Размер цветка 2-2,5 см, окраска - пурпурная. Высота растения 12-15 см. Прекрасно подходит для горшечной культуры, летом можно высаживать в открытый грунт и балконные ящики. Цветки сохраняют свою форму в широком диапазоне температур</t>
  </si>
  <si>
    <t>4601887146100</t>
  </si>
  <si>
    <t>Ц Скабиоза Ледяное сердце темно-пурпурная (П\ц)</t>
  </si>
  <si>
    <t>Восхитительная смесь из белых и лавандово-голубых соцветий. Стебли прямые, ветвистые, 80-90 см высотой. Пушистые крупные соцветия, диаметром до 6 см, на длинных цветоносах. Цветет с июля по октябрь. Используют в группах, рабатках, миксбордерах и на срезку. Срезанные цветы сохраняются в воде 5-7 дней.</t>
  </si>
  <si>
    <t>4601887146124</t>
  </si>
  <si>
    <t>Ц Скабиоза Разбитое сердце темно-пурпурная (П\ц)</t>
  </si>
  <si>
    <t>Яркая привлекающая внимание смесь. Стебли прямые, ветвистые, 80 см высотой. Пушистые крупные соцветия, диаметром до 5 см, на длинных цветоносах. Соцветия красные, розовые и тёмно-бордовые. Цветет с июля по октябрь. Используют в группах, рабатках, миксбордерах и на срезку. Срезанные цветы сохраняются в воде 5-7 дней.</t>
  </si>
  <si>
    <t>4601887098096</t>
  </si>
  <si>
    <t>Ц Смесь балконная Микс 0,5 гр.  (П\ц)</t>
  </si>
  <si>
    <t>Интересная смесь однолетних растений для балконных ящиков и подвесных корзин. Растения высотой около 25-40 см, имеют разнообразную окраску и форму цветка, цветут с июня до сильных заморозков.</t>
  </si>
  <si>
    <t>4601887222248</t>
  </si>
  <si>
    <t>Ц Смесь раннецветущих растений 0,3 гр. (П\ц)</t>
  </si>
  <si>
    <t>Удивительная яркая смесь. Растения до 50-60 см высотой, имеют разнообразную окраску и форму цветка, зацветают на 50-й день после появления всходов.</t>
  </si>
  <si>
    <t>4601887046530</t>
  </si>
  <si>
    <t>Ц Статица Суприм Голубая 0,15 гр. (П\ц)</t>
  </si>
  <si>
    <t>Если Вы хотите лучшее - это СУПРИМ. Один из самых популярных сухоцветов. Растение высотой до 75 см. Высушенные цветки долго сохраняют свою окраску. Цветет обильно с июля до заморозков. Используют для цветочных аранжировок, рабаток, миксбордеров.</t>
  </si>
  <si>
    <t>4601887046547</t>
  </si>
  <si>
    <t>Ц Статица Суприм Желтая 0,15 гр. (П\ц)</t>
  </si>
  <si>
    <t>Один из самых популярных сухоцветов. Растение высотой до 75 см. Высушенные цветки долго сохраняют свою окраску. Цветет обильно с июля до заморозков.</t>
  </si>
  <si>
    <t>4601887046554</t>
  </si>
  <si>
    <t>Ц Статица Суприм Карминная 0,15 гр. (П\ц)</t>
  </si>
  <si>
    <t>4601887046561</t>
  </si>
  <si>
    <t>Ц Статица Суприм Розовая 0,15 гр. (П\ц)</t>
  </si>
  <si>
    <t>4601887046578</t>
  </si>
  <si>
    <t>Ц Статица Суприм Синяя 0,15 гр  (П\ц)</t>
  </si>
  <si>
    <t>4601887274438</t>
  </si>
  <si>
    <t>Ц Статица Талисман Желто-синий 0,1 гр. (П\ц)</t>
  </si>
  <si>
    <t>Очень популярное растение, высотой 50-60 см. Мелкие цветки собраны в соцветия, окраску которым придают жёсткие чашечки, окрашенные в жёлтые и синие цвета. Цветёт с июля по октябрь. Используют для миксбордеров, альпийских горок, для срезки и зимних букетов.</t>
  </si>
  <si>
    <t>4601887275671</t>
  </si>
  <si>
    <t>Ц Статица Талисман Розово-синий 0,1 гр. (П\ц)</t>
  </si>
  <si>
    <t>Очень популярное растение, высотой 50-60 см. Мелкие цветки собраны в соцветия, окраску которым придают жесткие чашечки, окрашенные в розовые и синие цвета. Цветёт с июля по октябрь. Используют для миксбордеров, альпийских горок, для срезки  и зимних букетов.</t>
  </si>
  <si>
    <t>4601887274308</t>
  </si>
  <si>
    <t>Ц Статица Талисман Сине-белый 0,1 гр. (П\ц)</t>
  </si>
  <si>
    <t>Очень популярное растение, высотой 50-60 см. Мелкие цветки собраны в соцветия, окраску которым придают жесткие чашечки, окрашенные в синие и белые цвета. Цветёт с июля по октябрь. Используют для миксбордеров, альпийских горок, для срезки  и зимних букетов.</t>
  </si>
  <si>
    <t>4601887012788</t>
  </si>
  <si>
    <t>Ц Сухоцветы Злаковые 0,3гр (П\ц)</t>
  </si>
  <si>
    <t>Смесь злаковых трав, относящихся к группе сухоцветов. Высота 25-80 см. Используют для украшения цветников, клумб и для зимних букетов.</t>
  </si>
  <si>
    <t>4601887110101</t>
  </si>
  <si>
    <t>Ц Табак Сандер Марс 0,1 гр. (П\ц)</t>
  </si>
  <si>
    <t>Эффектный садовый гибрид! Растение высотой 50-60 см. Стебли ветвистые. Цветы крупные звездчатые, ярко карминно-красной окраски. Цветет очень обильно с июня по октябрь. Используют в группах и рабатках.</t>
  </si>
  <si>
    <t>4601887146049</t>
  </si>
  <si>
    <t>Ц Титония Рыжий фонарь 0,3 гр (П\ц)</t>
  </si>
  <si>
    <t>Роскошные высокие кусты высотой 100 см. Родина титонии – Мексика, ее называют еще мексиканским подсолнухом. Стебли красноватые, слабо опушенные. Растение при всей своей мощности не требует подвязки. Соцветия крупные корзинки диаметром 5-8 см, красной окраски, с желтой серединой, напоминают немахровые георгины. Цветет с конца июля до заморозков. Используют в групповых посадках в миксбордерах.</t>
  </si>
  <si>
    <t>4601887112389</t>
  </si>
  <si>
    <t>Ц Хризантема Корейская Смесь окрасок 0,05 гр. (П\ц)</t>
  </si>
  <si>
    <t>Щедрый подарок осени! Растения высотой около 60 см. Соцветия корзинки самых разнообразных окрасок простые и полумахровые. Цветет очень обильно в августе-октябре. Используют в высоких бордюрах, для срезки.</t>
  </si>
  <si>
    <t>4601887060611</t>
  </si>
  <si>
    <t>Ц Хризантема крупноцветковая Смесь окрасок 0,05гр. (П\ц)</t>
  </si>
  <si>
    <t>Необычная смесь махровых и немахровых соцветий. Высота растения около 50 см. Форма соцветий от плоской до помпонной, разнообразной окраски. Цветёт с конца августа по октябрь.</t>
  </si>
  <si>
    <t>4601887018360</t>
  </si>
  <si>
    <t>Ц Цинния Алое пламя георгин. 0,4 гр. (П\ц)</t>
  </si>
  <si>
    <t>Пышное и нарядное цветение. Растение мощное, ветвистое от основания, высотой до 80 см. Плотные полушаровидные соцветия, диаметром 8-10 см, красные. Цветет с июля по сентябрь. Используют для оформления цветников, рабаток и срезки.</t>
  </si>
  <si>
    <t>4601887274452</t>
  </si>
  <si>
    <t>Ц Цинния Кровавая Мэри 0,4 гр.(П\ц)</t>
  </si>
  <si>
    <t>Пышное и нарядное цветение. Растение мощное, ветвистое от основания, высотой до 80 см. Плотные полушаровидные соцветия, диаметром 8-10 см, ярко-красные. Цветет с июля по сентябрь. Используют для оформления цветников, рабаток и срезки.</t>
  </si>
  <si>
    <t>4601887415879</t>
  </si>
  <si>
    <t>Ц Цинния лиллипут Белая 0,4 гр. (П\ц)</t>
  </si>
  <si>
    <t>Компактные кустики с изящными шаровидными соцветиями. Распространенное засухоустойчивое неприхотливое растение, образующее разветвленные кустики до 45 см высотой. Соцветия многочисленные, небольшого диаметра, махровые. Цветет обильно, с июля до октября. Используют в клумбах, рабатках, группах и для срезки.</t>
  </si>
  <si>
    <t>4601887029403</t>
  </si>
  <si>
    <t>Ц Цинния Лиловый император кактус.0,4гр.(П\ц)</t>
  </si>
  <si>
    <t>Изящные крупные цветы необычной окраски. Растение мощное, ветвистое от основания, высотой 70-75 см. Полушаровидные махровые соцветия, диаметром 8-10 см, лавандовой окраски. Язычковые цветки узкие, свёрнутые по длине в трубочки, причудливо изогнуты. Цветет с июля по сентябрь. Широко используют для цветников и на срезку.</t>
  </si>
  <si>
    <t>4601887274469</t>
  </si>
  <si>
    <t>Ц Цинния Мистерия изящная 0,4 гр. (П\ц)</t>
  </si>
  <si>
    <t>Пышное и нарядное цветение. Растение мощное, ветвистое от основания, высотой до 80 см. Соцветия плотные полушаровидные, диаметром 8-10 см. Смесь состоит из фиолетовой и оранжевой окраски. Цветет с июля по сентябрь. Используют для оформления цветников, рабаток и срезки.</t>
  </si>
  <si>
    <t>4601887013600</t>
  </si>
  <si>
    <t>Ц Чистец шерстистый Овечьи ушки 0,1гр.(П\ц)</t>
  </si>
  <si>
    <t>Популярное растение с серебристыми зимующими листьями. Прямостоячие, четырехгранные стебли высотой 40-45 см. Листья толстые, продолговато-линейные, суженные к основанию, беловойлочно-опушенные, что придает им особую декоративность. Цветки мелкие, розово-лиловые или сиреневые, собраны в плотные, колосовидные соцветия. Цветет в июне-сентябре. Используют как почвопокровное и бордюрное растение</t>
  </si>
  <si>
    <t>4601887017981</t>
  </si>
  <si>
    <t>Ц Шток-роза Алая (П\ц)</t>
  </si>
  <si>
    <t>Классические садовые гиганты. Стебель мощный, ветвистый, высотой до 2 м. Крупные бархатистые махровые алые цветки собраны в длинные кистевидные соцветия. Цветет в июле-сентябре.</t>
  </si>
  <si>
    <t>4601887029809</t>
  </si>
  <si>
    <t>Ц Шток-роза Виолет 0,1гр.(П\ц)</t>
  </si>
  <si>
    <t>Растение имеет мощный, ветвистый стебель, достигающий 2 метров в высоту. Цветки махровые, бархатистые. Окраска сине-фиолетовая. Цветы собраны большие в кистевидные соцветия. Цветение растянуто с июля по сентябрь.</t>
  </si>
  <si>
    <t>4601887073772</t>
  </si>
  <si>
    <t>Ц Эшшольция Малиновый король 0,2 гр.(П\ц)</t>
  </si>
  <si>
    <t>Однолетнее растение с крупными цветками, не любит органические удобрения. Период цветения – с июня по сентябрь. Прекрасно подойдет для украшения балконов и каменистых горок.</t>
  </si>
  <si>
    <t>4601887110248</t>
  </si>
  <si>
    <t>Ц Эшшольция Эврика 0,2 гр.(П\ц)</t>
  </si>
  <si>
    <t>Колоритная смесь! Изящное растение высотой 40 см. Цветки одиночные, чашевидной формы 4-5 см в диаметре, пурпурно-лиловой и оранжевой окраски. Цветет обильно с июня по октябрь. Используют для клумб, рабаток, каменистых горок.</t>
  </si>
  <si>
    <t>4601887152613</t>
  </si>
  <si>
    <t>Кабачок Казанова F1 12 шт. (П\б)</t>
  </si>
  <si>
    <t>Раннеспелый гибрид (период от полных всходов до съёма 50-60 дней). Растение полуплетистое, преимущественно женского типа цветения. Плод цилиндрический, гладкий, светло-зелёный с белыми точками средней величины. Масса товарного плода 0,8-1,6 кг. Мякоть кремовая, сочная, консистенция плотная. Вкус отличный. Урожайность товарных плодов 50-65 т/га. Толерантен к основным болезням. Плоды продолжительное время сохраняют товарные качества, не перерастают. Гибрид засухоустойчивый.</t>
  </si>
  <si>
    <t>4601887025726</t>
  </si>
  <si>
    <t>Капуста б/к Белорусская 0,5 гр.(П/б)</t>
  </si>
  <si>
    <t>Один из лучших сортов для квашения. Популярный среднеспелый сорт. Период от высадки рассады до уборки урожая 80-110 дней.  Кочан округлый, плотный, массой 3-4 кг, на разрезе беловатый. Внутренняя кочерыга короткая. Сорт отличается холодостойкостью и устойчивостью к растрескиванию. Транспортабельность высокая. Рекомендуется для использования в свежем виде (с августа по ноябрь) и квашения.</t>
  </si>
  <si>
    <t>4601887263890</t>
  </si>
  <si>
    <t>Лук Штуттгартер ризен  репч. 1 гр (П\б)</t>
  </si>
  <si>
    <t>Один из лучших сортов для хранения. Высокоурожайный. Раннеспелый. Период от всходов до уборки урожая 85-95 дней. Луковицы плоскоокруглой формы, крупные. Окраска сухих чешуй желто-коричневая, сочных – белая. Вкус острый.</t>
  </si>
  <si>
    <t>4601887032946</t>
  </si>
  <si>
    <t>Морковь Ромоса 1 гр. (П/б)</t>
  </si>
  <si>
    <t>Позднеспелый сорт. Период от всходов до уборки урожая 125-130 дней. Сортотип Нантская. Корнеплоды цилиндрические. Длина 20-24 см, масса 150-200 г. Поверхность и сердцевина красно-оранжевая. Мякоть сочная, очень сладкая, отличного вкуса.</t>
  </si>
  <si>
    <t>4601887053897</t>
  </si>
  <si>
    <t>Морковь Шантанэ Королевская 2 гр. (П/б)</t>
  </si>
  <si>
    <t>Высокий урожай на тяжелых почвах. Среднеспелый сорт. Период от всходов до уборки урожая 90-110 дней. Сортотип Шантенэ. Корнеплоды выровненные, конические. Длина 15-17 см. Окраска поверхности, мякоти и сердцевины оранжево-красная. Масса 110-180 г. Вкусовые качества высокие.</t>
  </si>
  <si>
    <t>4601887024439</t>
  </si>
  <si>
    <t>Огурец Апрельский 12шт.(П\б)</t>
  </si>
  <si>
    <t>4601887279419</t>
  </si>
  <si>
    <t>Огурец Зозуля 0,5 гр. (П/б)</t>
  </si>
  <si>
    <t>Партенокарпик. Плоды отличного качества. Для защищенного грунта. Раннеспелый салатный гибрид. В плодоношение вступает на 45-50 день после появления всходов.  Растение среднеплетистое, ветвление слабое. Плоды цилиндрические, длиной 20-24 см, с гладким основанием, крупнобугорчатые, шипы редкие, белые. Масса 250-300 г. Выращивается в весенне-летней и летне-осенней культуре. Устойчив к оливковой пятнистости и вирусу огуречной мозаики.</t>
  </si>
  <si>
    <t>4601887016106</t>
  </si>
  <si>
    <t>Огурец Конни 12 шт. (П\б)</t>
  </si>
  <si>
    <t>Партенокарпик. Для открытого грунта. Раннеспелый гибрид, склонен к пучковому образованию завязей. Период то всходов до начала плодоношения 47-50 дней. Растение сильнорослое. Плод цилиндрический, короткий (7-9 см), частомелкобугорчатый, опушение белое. Масса 60-80 г. Вкусовые качества отличные. Устойчив к мучнистой росе и корневой гнили.</t>
  </si>
  <si>
    <t>4601887024507</t>
  </si>
  <si>
    <t>Огурец Отело 12 шт. (П\б)</t>
  </si>
  <si>
    <t>Плоды высоких вкусовых качеств, без горечи. Для открытого грунта и пленочных теплиц. Раннеспелый пчёлоопыляемый гибрид. В плодоношение вступает через 40-45 дней после всходов. Растение плетистое. Плоды цилиндрической формы, длиной 8-10 см, мелкобугорчатые, с нежным белым опушением, зеленые. Универсальное назначение.</t>
  </si>
  <si>
    <t>4601887264101</t>
  </si>
  <si>
    <t>Свекла Смуглянка 3 гр. (П\б)</t>
  </si>
  <si>
    <t>Среднеспелый высокоурожайный сорт. Период от всходов до уборки урожая 95-110 дней. Розетка листьев прямостоячая, листья темно-зеленые. Корнеплод округло-плоский, с маленькой розеткой, массой 350-400 г, погружен в почву наполовину. Мякоть темно-красная, сочная. Лежкость при хранении отличная. Предназначен для употребления в осенне-зимний период.</t>
  </si>
  <si>
    <t>4601887378983</t>
  </si>
  <si>
    <t>Трава Для кошек 5гр.(П/б)</t>
  </si>
  <si>
    <t>Быстрорастущая зелень, полученная из семян, пополнит рацион Ваших любимцев. Высаживать можно на окне, балконе и приусадебном участке. Содержимое пакета посеять в любой субстрат (речной песок, земля и др.), обильно полить. Зелень готова к употреблению через 10-15 дней. Кошки могут питаться как с грядки, так и срезанной, измельчённой травой, которую добавляют в корм. Выращивать свежую зелень можно круглый год.</t>
  </si>
  <si>
    <t>4620010897542</t>
  </si>
  <si>
    <t>Арбуз Бубновый туз (ПС)</t>
  </si>
  <si>
    <t>Премиум Сидс</t>
  </si>
  <si>
    <t>Раннеспелый (65-80 дней) гибрид с максимально сладкими и очень лежкими плодами для выращивания в открытом грунте, пленочных теплицах и укрытиях. Растение длинноплетистое до 5-6 м. Плоды округлые 5-8 кг, полосатые с светло-зеленой кожурой и темно-зелеными полосами. Мякоть красная, плотная, без прожилок, сочная, хрустящая и очень сладкая, отличного вкуса.</t>
  </si>
  <si>
    <t>4620010896309</t>
  </si>
  <si>
    <t>Арбуз Золотой малыш (ПС)</t>
  </si>
  <si>
    <t>Раннеспелый, холодостойкий, высокоурожайный сорт универсального назначения. От всходов до начала созревания плодов 70-75 дней. Плоды массой 4-7 кг с жёлтой ароматной и сахаристой мякотью, с небольшим количеством семян, с повышенным содержанием сахара (до 12%), после уборки долгое время хранится, и при этом мякоть остаётся сахаристой и очень сладкой.</t>
  </si>
  <si>
    <t>4620010896620</t>
  </si>
  <si>
    <t>Базилик гвоздичный Казанова 0,3 гр. (ПС)</t>
  </si>
  <si>
    <t>Трава вечной любви! Неповторимый манящий гвоздичный аромат и необыкновенный вкус, позволяют ему занять достойное место среди зелени на вашем столе! Раннеспелый (от всходов до хозяйственной годности 20-35 дней), густооблиственный сорт, высотой 30-45см, широко используемый в качестве пряно-вкусовой добавки в свежем и сушёном виде, а также в медицине (содержит много витамина К).</t>
  </si>
  <si>
    <t>4620010897801</t>
  </si>
  <si>
    <t>Баклажан Дон батон (ПС) 312055285</t>
  </si>
  <si>
    <t>Раннеспелый (100-105 дн.) высокоурожайный сорт для открытого грунта и пленочных укрытий. Растение среднерослое (45 - 55 см), слабошиповатое. Плоды цилиндрические. В технической спелости фиолетово-черные, а в биологической  шоколадного цвета, массой 160-190 г. Мякоть беловато-зеленая, нежная, без горечи, с высокими вкусовыми качествами. Используется для консервирования, заморозки. Один из лучших сортов для приготовления икры.</t>
  </si>
  <si>
    <t>4620010890413</t>
  </si>
  <si>
    <t>Баклажан Царская Икра 0,2 гр. (ПС)</t>
  </si>
  <si>
    <t>Раннеспелый сорт (от всходов до начала созревания плодов - 107-112 день). Растение среднерослое. Плод грушевидной формы, глянцевый, фиолетовой окраски, массой 120-240 г. Мякоть белая, без горечи.</t>
  </si>
  <si>
    <t>4620010897795</t>
  </si>
  <si>
    <t>Баклажан Черныш 0,05 гр. (ПС)</t>
  </si>
  <si>
    <t>Раннеспелый (95-100 дней), высокоурожайный, надежный гибрид для открытого грунта и пленочных укрытий. На среднерослом (60-75 см) растении формируется 6-9 фиолетово-черных цилиндрическо-грушевидных плодов фиолетово-черного цвета, массой 150-180 г. Мякоть беловато-зеленая, нежная, без горечи, с высокими вкусовыми качествами. Используется для потребления в свежем виде, всех видов переработки и заморозки.</t>
  </si>
  <si>
    <t>4620010896583</t>
  </si>
  <si>
    <t>Кабачок Внучок 7 шт. (ПС)</t>
  </si>
  <si>
    <t>Молоденькие корнишоны очень хороши при цельноплодном консервировании, плотные, хрустящие, ароматные!
Скороспелый, корнишонный, холодостойкий, высокоурожайный, кустовой, с пучковой завязью сорт для всех регионов России. Плоды светлые, цилиндрические, короткие, с плотной и хрустящей мякотью, весом 135-450г, универсального использования. Сорт обладает устойчивостью к болезням.</t>
  </si>
  <si>
    <t>4620010899102</t>
  </si>
  <si>
    <t>Кабачок Полковник 0,6 гр. (ПС)</t>
  </si>
  <si>
    <t>Скороспелый гибрид кабачка для открытого грунта и плёночных укрытий с плодами высокой товарности. Растения мощные, энергичные с отличной урожайностью и длительным периодом сбора урожая. Плоды короткие, цилиндрической формы, светло-зелёной окраски и массой 250-300 г. Плоды выносливы к повреждениям при уборке и транспортировке, имеют гармоничный свежий вкус и плотную консистенцию. Гибрид обладает комплексной устойчивостью к заболеваниям.</t>
  </si>
  <si>
    <t>4620010898235</t>
  </si>
  <si>
    <t>Кабачок Чародей 0,5 гр. (ПС)</t>
  </si>
  <si>
    <t>Раннеспелый (40-45 дн.), очень урожайный гибрид с продолжительным периодом плодоношения. Растение кустовое, компактное. Плоды красивые, однородные, цилиндрической формы, белые с мелкими точками, длиной 16-20 см, массой 400-800 грамм. Мякоть белая, нежная, сочная хрустящая, отличного вкуса. Рекомендуется для консервирования, приготовления кабачковой икры и диетической домашней кулинарии.</t>
  </si>
  <si>
    <t>4620010898112</t>
  </si>
  <si>
    <t>Капуста цв. Белобока F1 0,05 гр. (ПС)</t>
  </si>
  <si>
    <t>Раннеспелый, высокоурожайный гибрид устойчивый к болезням и цветушности. Пригоден для получения двух урожаев за сезон при ранневесеннем и летнем сроках посадки. Растение компактное. Формирует вертикальную, слегка приподнятую розетку листьев. Головка белого цвета, очень плотная, гладкая, выпуклая, массой 0,8–1,1 кг. Прекрасно переносит транспортировку и долго сохраняет свои превосходные вкусовые качества после уборки. Рекомендуется для использования в домашней кулинарии и для замораживания.</t>
  </si>
  <si>
    <t>4620010897207</t>
  </si>
  <si>
    <t>Капуста цв. Белый трюфель F1 0,05 гр. (ПС)</t>
  </si>
  <si>
    <t>Раннеспелый, высокоурожайный гибрид устойчивый к цветушности. Растение компактное. Розетка листьев приподнятая. Головка белого цвета, очень плотная, среднебугристая, массой 0,7–0,9 кг с высоким содержанием витаминов А и С, прекрасно переносит транспортировку и долго сохраняет свои превосходные вкусовые качества после уборки. Рекомендуется для диетического питания в свежем виде, использования в домашней кулинарии и замораживания.</t>
  </si>
  <si>
    <t>4620010894695</t>
  </si>
  <si>
    <t>Капуста цв. Снеговик F1 0,1гр (ПС)</t>
  </si>
  <si>
    <t>Раннеспелый, высокоурожайный гибрид с устойчивостью к цветушности. Головка белого цвета, очень плотная, массой 1-1,2 кг,  с высоким содержанием витаминов С и А,</t>
  </si>
  <si>
    <t>4620010898198</t>
  </si>
  <si>
    <t>Капуста цв. Умка F1 0,1 гр (ПС)</t>
  </si>
  <si>
    <t>Раннеспелый, надежный, высокоурожайный сорт для выращивания в открытом грунте и временных пленочных укрытиях. Розетка листьев приподнятая. Головка плотная, округлая, беловатая, с нежной текстурой. Масса головки - 0,5-0,7 кг. Прекрасно переносит транспортировку и долго сохраняет свои превосходные вкусовые качества после уборки. Рекомендуется для диетического питания в свежем виде, использования в домашней кулинарии и замораживания.</t>
  </si>
  <si>
    <t>4620010895098</t>
  </si>
  <si>
    <t>Лук на зелень Первые витамины 1 гр. (ПС)</t>
  </si>
  <si>
    <t>Смесь многолетних, раннеспелых (от всходов до первого сбора урожая 35-40 дней), высокоурожайных, зимостойких сортов, с белой и красной «ножкой». Образуют нежную, с высоким содержанием витамина С и приятным полуострым вкусом зелень.  Высота растений 40-50см, масса 55-65г.</t>
  </si>
  <si>
    <t>4620010896941</t>
  </si>
  <si>
    <t>Лук озимый Метелица 1г (ПС)</t>
  </si>
  <si>
    <t>Посадил Метелицу под зиму - имей в июне лука целую корзину! Скороспелый, зимостойкий (при посадке севка под зиму), полуострый сорт репчатого лука, универсального использования. Луковица округлая, плотная, окраска сухих чешуй – желтая, сочных – белая. Масса луковиц выращенных из семян 80-110г, а выращенных из севка 130-200г. При подзимней посадке секва сорт устойчив к стрелкованию.</t>
  </si>
  <si>
    <t>4620010896446</t>
  </si>
  <si>
    <t>Лук Семейный хоровод репч. 0,3 гр. (ПС)</t>
  </si>
  <si>
    <t>Самый полезный репчатый лук из всех известных сортов и гибридов! Содержит много витамина С и сухого вещества. Отлично хранится до 15 месяцев! Раннеспелый, многогнёздный, многозачатковый сорт. Дает высокий урожай многозачатковых луковиц острого вкуса. Луковицы супер плотные, массой 45-120 г при выращивании в однолетней культуре из семян и 150-280 г при выращивании из севка, никогда не оголяются. Обладают незабываемым вкусом и ароматом, при добавлении в различные блюда, при жарке манящий запах распространяется на всю округу.</t>
  </si>
  <si>
    <t>4620010890055</t>
  </si>
  <si>
    <t>Лук шалот Дружная семейка (семейный) 0,1 гр. (ПС)</t>
  </si>
  <si>
    <t>Раннеспелый, многогнёздный сорт. Дает высокий урожай многозачатковых луковиц острого вкуса. Луковицы плотные, массой 25-30 г.</t>
  </si>
  <si>
    <t>4620010898587</t>
  </si>
  <si>
    <t>Лук шалот Три капитана (семейный) 0,1 гр. (ПС)</t>
  </si>
  <si>
    <t>ЛУК ГУРМАНОВ И АРИСТОКРАТОВ! Раннеспелый, супер урожайный, многогнёздный (от 3 до 7 луковиц) сорт. Дает высокий урожай многозачатковых луковиц слабоострого вкуса. Луковицы веретенообразные, диаметром 2-3 см, длиной 10-15 см, массой 60-200 г. Насыщенно-бронзовой окраски. Отлично хранится до нового урожая. Обладает незабываемым изысканным вкусом и ароматом при добавлении в различные блюда. Прекрасно помогает в борьбе с простудными заболеваниями.</t>
  </si>
  <si>
    <t>4620010898266</t>
  </si>
  <si>
    <t>Огурец Виноградная гроздь F1 5 шт. (ПС)</t>
  </si>
  <si>
    <t>Самоопыляемый, без горечи, с тонкой кожицей. Раннеспелый (43-45 дней), партенокарпический гибрид для открытого грунта, пленочных и обогреваемых теплиц. Растение холодостойкое, женского типа цветения с пучковым заложением завязи и обильным плодоношением до заморозков. Обладает устойчивостью к ложной мучнистой росе и основным болезням огурца. Огурчики корнишонного типа, насыщенно--зеленые, крупнобугорчатые с нежной кожицей и чрезвычайно мелкими семенами, однородные, хрустящие, не перерастают, транспортабельные длиной 8–10 см, вкусные и ароматные. Изумительны как в салатах, так и для бочкового засола, консервирования и маринования.</t>
  </si>
  <si>
    <t>4620010893889</t>
  </si>
  <si>
    <t>Огурец Германика F1 10шт. (ПС) 351986939</t>
  </si>
  <si>
    <t xml:space="preserve"> Скороспелый партенокарпический гибрид.  Предназначен  для выращивания в теплицах и открытом грунте.бугорчатые, темно-зеленые, длинной 10-12 см без горечи и пустот.</t>
  </si>
  <si>
    <t>4620010898181</t>
  </si>
  <si>
    <t>Огурец Коренастик F1 0,2 гр.  (ПС) 351986941</t>
  </si>
  <si>
    <t>Раннеспелый, высокоурожайный, партенокарпический гибрид для выращивания в открытом и защищенном грунте. Растение индетерминантное, средневетвистое, женского типа цветения. Число женских цветков в узле преимущественно два. Огурчик хрустящий, короткий, цилиндрический, белошипый с бугорками среднего размера очень вкусный и ароматный, без горечи и пустот. Массой 90-105 г.</t>
  </si>
  <si>
    <t>4620010890703</t>
  </si>
  <si>
    <t>Огурец Мал-Мала-Меньше F1 10шт. (ПС) 351986942</t>
  </si>
  <si>
    <t>Раннеспелый, самоопыляемый гибрид для защищенного и открытого грунта (от полных всходов до начала плодоношения 43-46 дней). Зеленцы короткие, цилиндрические, мелкобугорчатые, белоопушенные, длиной 7-9 см, диаметром 1,5-2,5 см, массой 35-55 г, без горечи и пустот, сочные и хрустящие.</t>
  </si>
  <si>
    <t>4620010896286</t>
  </si>
  <si>
    <t>Огурец Матвейка (ПС)</t>
  </si>
  <si>
    <t>Урожай удачи</t>
  </si>
  <si>
    <t>Раннеспелый, самоопыляемый, очень высокоурожайный гибрид для открытого грунта и всех видов теплиц. Зеленцы короткие, цилиндрические, бугорчатые, длиной 8-10 см, хрустящие, очень быстро нарастают после очередного сбора. Обладает устойчивостью к настоящей мучнистой росе. При засолке и консервировании огурчики остаются вкусными и хрустящими.</t>
  </si>
  <si>
    <t>4620010890116</t>
  </si>
  <si>
    <t>Огурец Первачок (ПС) 352158894</t>
  </si>
  <si>
    <t>Это первый огурец на вашей грядке. Ультраскороспелый (от полных всходов до технической спелости 32-35 дней), пчелоопыляемый гибрид для открытого грунта и временных пленочных укрытий. Зеленец цилиндрической формы, крупнобугорчатый, опушение белое, длиной до 8 см, массой 70-75 г, без горечи.</t>
  </si>
  <si>
    <t>4620010898754</t>
  </si>
  <si>
    <t>Огурец Хрустафор 5 шт. (ПС) 353983917</t>
  </si>
  <si>
    <t>Очень ранний (35-37дней), партенокарпический гибрид со стабильным плодоношением высокотоварных плодов!. Обильно плодоносит как в открытом грунте, так и в пленочных и обогреваемых теплицах все лето! Растение с укороченными междоузлиями, с пучковым (2-3 шт.) заложением завязи. Вынослив к основным болезням огурца, в т.ч. пероноспорозу, кладоспориозу и вирусу огуречной мозаики. Огурчики  хрустящие, не перерастают, длиной 9-10 см, вкусные, хрустящие и ароматные. Хороши как в салатах, так и в засолке.</t>
  </si>
  <si>
    <t>4620010895067</t>
  </si>
  <si>
    <t>Патиссон Копейка 7 шт. (ПС)</t>
  </si>
  <si>
    <t>Знакомьтесь, гастрономический шедевр, супер патиссон-корнишон Копейка!
Новый, ультраскороспелый (от всходов до созревания 35-37дней), кустовой сорт патиссона корнишонного типа. Копейка на всей территории России очень хорошо завязывается, (растение формирует преимущественно женские цветки) долго и дружно плодоносят.  Плоды жёлто-оранжевого цвета, на грядке и на столе смотрятся очень нарядно, массой 15-30 г.</t>
  </si>
  <si>
    <t>4620010890086</t>
  </si>
  <si>
    <t>Перец Биг Бон 0,1 гр (ПС)</t>
  </si>
  <si>
    <t>Высокоурожайный, среднеранний (период от полных всходов до технической спелости 105-115 дней) сорт для открытого грунта и пленочных укрытий. Растение детерминантное. Плоды кубовидной формы, массой 160-220 г, гладкие, глянцевые, в биологической спелости темно-красные, очень сочные. Толщина стенки плода 8,5-9,0 мм. Плоды с очень сильным перечным ароматом, великолепно хранятся. После уборки долгое время остаются сочными и ароматными, не вянут.</t>
  </si>
  <si>
    <t>4620010895883</t>
  </si>
  <si>
    <t>Перец Бочка шоколада F1 0,07 гр. (ПС)</t>
  </si>
  <si>
    <t>Для получения раннего урожая в открытом грунте и под плёночными укрытиями!
Раннеспелый, очень холодостойкий, компактный  гибрид для открытого грунта и плёночных укрытий. Плоды крупные, 180-220г, толстостенные, кубовидные, гладкие, в биологической спелости коричневые. Отличается повышенным содержанием аскорбиновой кислоты и сахара. Обладает очень сильным перечным ароматом, сладкий, сочный и вкусный. Прекрасно подходит для всех видов переработки.</t>
  </si>
  <si>
    <t>4620010890062</t>
  </si>
  <si>
    <t>Перец Золотая бочка 0,1гр  (ПС)</t>
  </si>
  <si>
    <t>Высокоурожайный, среднеранний (период от полных всходов до технической спелости 100-120 дней) сорт для открытого грунта и пленочных укрытий. Растение детерминантное. Плоды кубовидной формы, массой 180-220 г, гладкие, глянцевые, в биологической спелости желтые, очень сочные. Толщина стенки плода 8,0-9,0 мм. Плоды с очень сильным перечным ароматом и повышенным содержанием аскорбиновой кислоты.</t>
  </si>
  <si>
    <t>4620010897818</t>
  </si>
  <si>
    <t>Перец Красный куб 0,08 гр  (ПС)</t>
  </si>
  <si>
    <t>Среднеранний (от всходов 120 дней) гибрид для пленочных теплиц и открытого грунта. Растение высокорослое (80-85 см), мощное. Плоды крупные (260-300 г.) кубовидные, с толщиной стенки до 10 мм. В фазе технической спелости зелёные, в биологической – ярко-красные. Имеют отличный вкус. Рекомендуется для употребления в свежем виде, фарширования, приготовления лечо и консервирования. Устойчив к вертициллёзному увяданию. Урожайность 6-7 кг/м².</t>
  </si>
  <si>
    <t>4620010897849</t>
  </si>
  <si>
    <t>Перец Крымский богатырь 0,1гр  (ПС)</t>
  </si>
  <si>
    <t>Прекрасно растет как в пленочных укрытиях, так и в открытом грунте. Растение высокорослое (55-70 см.), мощное, раскидистое. Плоды массой 150-180 г. конусовидно-призмовидные. В фазе технической спелости светло-зеленые, в биологической – красные, с толщиной стенки до 6 мм.</t>
  </si>
  <si>
    <t>4620010894626</t>
  </si>
  <si>
    <t>Перец Медовый король 5 шт. (ПС)</t>
  </si>
  <si>
    <t>Для получения очень раннего урожая в открытом грунте и под плёночными укрытиями!
Ультраскороспелый, очень холодостойкий, компактный  гибрид для открытого грунта и плёночных укрытий. Плоды крупные, 180-200г, толстостенные, кубовидные, гладкие, в биологической спелости жёлтые.</t>
  </si>
  <si>
    <t>4620010896316</t>
  </si>
  <si>
    <t>Перец Рыжий барин 0,08 гр. (ПС)</t>
  </si>
  <si>
    <t>Скороспелый, высокоурожайный гибрид (от массовых всходов до технической спелости плодов 95-108 дней) для открытого грунта и плёночных укрытий. Плоды толстостенные (до 10 мм), нежные и необыкновенно сладкие, массой до 270 г, гладкие и блестящие, в биологической спелости - тёмно оранжевые. На растении одновременно завязывается и дружно созревает до 15-20 плодов и после сбора очень быстро нарастают новые! Обладает комплексной устойчивостью к болезням и универсальным использованием в кулинарии и переработке.</t>
  </si>
  <si>
    <t>4620010898228</t>
  </si>
  <si>
    <t>Перец Рыжиков 0,07 гр. (ПС) 499367769</t>
  </si>
  <si>
    <t>Раннеспелый (85-90 дней от всходов) сорт сладкого перца для выращивания в открытом грунте и под пленочными укрытиями. Обладает высокой пластичностью к условиям выращивания Растение среднерослое, полураскидистое. Ввиду большого количества плодов требует подвязки. Плоды крупные, кубовидные, весом до 200 г., с толщиной стенки до 10 мм. Желто-белые в технической спелости и ярко оранжевые в биологической. Имеют отличный вкус. Рекомендуется для употребления в свежем виде, использования в домашней кулинарии, приготовления лечо и консервирования.</t>
  </si>
  <si>
    <t>4620010896415</t>
  </si>
  <si>
    <t>Перец Стопудовый F1 0,08 г (ПС)</t>
  </si>
  <si>
    <t>Ультраскороспелый, штамбовый, компактный (не требует формировки) очень холодостойкий, для получения раннего урожая,   для открытого грунта и плёночных укрытий. Плоды крупные, цилиндрические, все как на подбор, массой 150-180 г, толстостенные (толщина до 8 мм), в технической спелости светло-зелёные, в биологической красные. Плоды содержат много аскорбинки и сахара. Обладает сильным перечным ароматом, сладкий, сочный и вкусный. Устойчив к ВТМ, ВОМ, увяданию. Прекрасно подходит для всех видов переработки. Растения все обсыпаны плодами!</t>
  </si>
  <si>
    <t>4620010898914</t>
  </si>
  <si>
    <t>Перец Царь Мангал F1 10 шт. (ПС)</t>
  </si>
  <si>
    <t>Раннеспелый (95-105 дней), холодостойкий, высокоурожайный гибрид для открытого грунта и плёночных укрытий. Плоды кубовидные, в биологической спелости роскошного темно-красного цвета, толстостенные (до 9 мм), сочные, необыкновенно сладкие и очень вкусные, массой до 270 г. Прекрасно подходит для свежего потребления, запекания, приготовления лечо, заморозки, домашней кулинарии. Обладает комплексной устойчивостью к болезням.</t>
  </si>
  <si>
    <t>4620010896682</t>
  </si>
  <si>
    <t>Редис Чудо хрустик F1 1г (ПС)</t>
  </si>
  <si>
    <t>Натуральный витаминный комплекс! Раннеспелый, холодостойкий, очень урожайный гибрид. От всходов до массового сбора урожая 20-26 дней. Корнеплоды округлой формы, выравненные, красные, массой 25-30 г, с белой, плотной, сочной и хрустящей мякотью, слабо-острого вкуса, без горечи и пустот. Устойчив к цветушности и долго не дряблеет.</t>
  </si>
  <si>
    <t>4620010896224</t>
  </si>
  <si>
    <t>Руккола (Индау) Парижанка 0,5гр (ПС)</t>
  </si>
  <si>
    <t>Новый, современный сорт салатной рукколы! Всегда свежая зелень к Вашему столу. Великолепно подходит для круглогодичного выращивания дома на подоконнике и в открытом грунте во всех регионах России. Зелень богатая витаминами будет готова уже через 2 недели после всходов. Она очень сочная и нежная с неповторимым пикантным вкусом. Прекрасно сочетается с рыбой, мясом, различными морепродуктами. Очень хороша в различных овощных салатах. Регулярное употребление рукколы Парижанка повышает уровень гемоглобина, одновременно уменьшается холестерин, укрепляет иммунную и нервную системы.</t>
  </si>
  <si>
    <t>4620010896576</t>
  </si>
  <si>
    <t>Салат Пушкин 0,5 гр (ПС)</t>
  </si>
  <si>
    <t>Раннеспелый (начало технической спелости через 35-45 дней после всходов) высокоурожайный сорт листового салата, для всех регионов. Формирует крупную розетку высотой 17-25см, диаметром до 32см, массой 300-370г. Лист крупный, тёмно-красный, сильно волнистый по краю, нежный и хрустящий, без горечи, с повышенным содержанием клетчатки и витаминов.</t>
  </si>
  <si>
    <t>4620010897153</t>
  </si>
  <si>
    <t>Свекла Ред Марио 0,5 гр. (ПС)</t>
  </si>
  <si>
    <t>Рекордное содержание сахара, чемпион по лежкости! Высокоурожайный гибрид столовой свеклы, предназначенный для выращивания на раннюю продукцию и длительного хранения. Корнеплоды выровненные, округлые, массой 170-270 г, красивые, с гладкой и ровной кожицей. Мякоть без колец, интенсивно-красного цвета, очень нежная и сочная, при варке не светлеет. Накапливает рекордно высокое количество сахаров, что обеспечивает насыщенный богатый вкус и надежное продолжительное хранение. Прекрасно подходит для всех видов переработки. Обладает повышенной лёжкостью и устойчивостью к церкоспорозу, пероноспорозу, мучнистой росе и ризоктониозу.</t>
  </si>
  <si>
    <t>4620010892004</t>
  </si>
  <si>
    <t>Табак Кубинский курительный (ПС)</t>
  </si>
  <si>
    <t>Элитный, классический, холодостойкий, неприхотливый в выращивании сорт, курительного табака. Созревает через 65 дней. Куст высотой 1.5 метра. Листья крупные, длиной 40 см, с приятным ароматом.</t>
  </si>
  <si>
    <t>4620010893964</t>
  </si>
  <si>
    <t>Томат Антоновка Медовая 0,05 гр. (ПС) 193426686</t>
  </si>
  <si>
    <t>Среднеспелый (от всходов до начала созревания 105-110 дней), высокоурожайный, крупноплодный сорт для открытого грунта и плёночных укрытий. Растение детерминантное, но требует подвязки и пасынкования. Плоды округлые, светло-зелёные, в биологической спелости с прожилками жёлтого цвета и ярко-розовой мякотью, массой 180-220 г, ароматные и вкусные. Ценность сорта: высокая урожайность, транспортабельность, отличные вкусовые качества.</t>
  </si>
  <si>
    <t>4620010898044</t>
  </si>
  <si>
    <t>Томат Башня 0,05 гр. (ПС) 285552886</t>
  </si>
  <si>
    <t>Урожайный гибрид для выращивания в открытом грунте в шпалерной культуре, в теплицах и под плёночными укрытиями. Растение индетерминантное, высотой 150-200 см, среднеспелое (от всходов до начала созревания 105-110 дней) с дружной отдачей урожая. Плоды вытянутые, оригинальной перцевидной формы, в кисти выровненные массой 110-150 г (до 250 г). Мякоть мясистая, с насыщенным ароматом и вкусом. Превосходен в салатах, цельноплодном консервировании и переработке. Хорошо переносит транспортировку и подходит для длительного хранения без потери потребительских качеств. Вынослив к фузариозу, кладоспориозу, ВТМ.</t>
  </si>
  <si>
    <t>4620010897214</t>
  </si>
  <si>
    <t>Томат Бесфитофторный F1 0,1г (ПС) 193430144</t>
  </si>
  <si>
    <t>Раннеспелый (95-98 дней от полных всходов до созревания), высокоурожайный, индетерминантный, крупноплодный томат для выращивания в стеклянных и плёночных теплицах, а так же в открытом грунте. Плоды плоскоокруглые, гладкие, в кисти все крупные до 300 г, без зелёного пятна у плодоножки и без "косточки" внутри, не трескаются, мясистые и сладкие. Гибрид обладает устойчивостью к вирусам и повышенной выносливостью к фитофторе.</t>
  </si>
  <si>
    <t>4620010891267</t>
  </si>
  <si>
    <t>Томат Бочка меда 0,05 гр (ПС)</t>
  </si>
  <si>
    <t>Среднеспелый, крупноплодный сорт (от всходов до технической спелости 100-105 дней) для выращивания в открытом грунте и под пленочными укрытиями. Плод оранжевый, плоскоокруглый. Мякоть сочная, очень ароматная и сладкая. Масса плода до 400 г.</t>
  </si>
  <si>
    <t>4620010897184</t>
  </si>
  <si>
    <t>Томат Бурёнка F1 0,03г (ПС)</t>
  </si>
  <si>
    <t>Один из самых вкусных ранних индетерминантных томатов для салатов и свежего употребления!! Оригинальный, раннеспелый (88-90 дней), высокоурожайный, индетерминантный, надежный гибрид для открытого грунта и пленочных теплиц, с очень ароматными и вкусными темно-красными плодами массой до 300 г. Плоды выровненные, плоскоокруглые с носиком, в кисти созревают равномерно, очень высокого качества, сочные и плотные. Гибрид обладает устойчивостью к альтернариозу и ВТМ.</t>
  </si>
  <si>
    <t>4620010897535</t>
  </si>
  <si>
    <t>Томат Важный индюк 0,03 гр. (ПС)</t>
  </si>
  <si>
    <t>Гибрид для выращивания в открытом грунте и пленочных теплицах с очень крупными (350-400г.) и вкусными плодами. Все плоды насыщенно красного цвета, однородные. В кисти созревают одновременно.</t>
  </si>
  <si>
    <t>4620010899164</t>
  </si>
  <si>
    <t>Томат Вот это помидоры 0,03 гр. (ПС)</t>
  </si>
  <si>
    <t>Раннеспелый (95-100 дней) гибрид для выращивания в открытом грунте в шпалерной культуре, в теплицах и под плёночными укрытиями. Растение индетерминантное. Плоды округлые, глянцевые, выравнены по форме и размеру весом 150-200 г. красивого темно-красного окраса, без зеленого пятнышка. В одной кисти 5-6 плодов. Мякоть мясистая, с насыщенным ароматом и превосходным вкусом. Превосходен в салатах, консервировании и переработке. Хорошо переносит транспортировку и подходит для длительного хранения без потери потребительских качеств. Гибрид устойчив ко многим заболеваниям томата.</t>
  </si>
  <si>
    <t>4620010893940</t>
  </si>
  <si>
    <t>Томат Гармошка 0,05 гр. (ПС)</t>
  </si>
  <si>
    <t>Среднеранний (от всходов до начала созревания 107-110дней), высокоурожайный, крупноплодный сорт для открытого грунта и плёночных теплиц. Растение индетерминантное. Плоды грушевидные, ребристые, розово-красные, мясистые, мякоть тёмно- малинового цвета, массой 200-250г.</t>
  </si>
  <si>
    <t>4620010898372</t>
  </si>
  <si>
    <t>Томат Дварф Медовые орешки F1 0,05 гр (ПС)</t>
  </si>
  <si>
    <t>Раннеспелый (95-105 дней), высокоурожайный, низкорослый (до 45 см)  для выращивания в горшках, ящиках на балконах и лоджиях и как растение-уплотнитель, с очень сладкими и вкусными янтарно желтыми плодами. Плоды типа черри массой до 30 г выровненные, округлые, устойчивы к растрескиванию, в кисти созревают равномерно, с насыщенным ароматом и вкусом. Превосходен в коктейлях, салатах и в цельноплодном консервировании.</t>
  </si>
  <si>
    <t>4620010898549</t>
  </si>
  <si>
    <t>Томат Дедушка Лисей F1 0,03 гр. (ПС)</t>
  </si>
  <si>
    <t>Новый, раннеспелый (95-100 дней), индетерминантный гибрид F1 для выращивании в открытом грунте на шпалере и пленочных теплиц, с очень вкусными оригинальными ярко-оранжевыми плодами массой до 100 г и дружной отдачей урожая. Плоды устойчивы к растрескиванию, выровненные, цилиндрические, в кисти созревают равномерно, очень высокого качества, лежкие, сочные и транспортабельные с насыщенным ароматом и гармоничным вкусом. Превосходен в салатах, цельноплодном консервировании и переработке. Гибрид  обладает комплексной  устойчивостью  к  болезням (ВТМ, альтернариоз, фузариоз, бактериоз).</t>
  </si>
  <si>
    <t>4620010896002</t>
  </si>
  <si>
    <t>Томат Дынюшка F1 (Дыневый мёд F1) 10 шт. (ПС) 193429463</t>
  </si>
  <si>
    <t>Фантастическая новинка! Суперурожайный, суперкрупноплодный, уникальный и очень полезный гибрид со вкусом дыни! Раннеспелый (от всходов до начала созревания 95-98 дней), индетерминантный, урожайность просто восхищает, до 25 кг/м2, для всех видов теплиц и выращивания в открытом грунте с подвязкой. Плоды сердцевидной формы, очень красивые, оранжево-малиновой окраски, сладкие, мясистые и необыкновенно вкусные. Средняя масса плодов 350-500 г, а отдельные плоды могут достигать 700 г. Выращивайте и наслаждайтесь!</t>
  </si>
  <si>
    <t>4620010899133</t>
  </si>
  <si>
    <t>Томат Ё-Моё 0,05 гр. (ПС)</t>
  </si>
  <si>
    <t>Раннеспелый, высокорослый гибрид для выращивания в открытом грунте на опорах и пленочных теплицах, с привлекательными золотисто-оранжевыми плодами массой 250-300 г и дружной отдачей урожая. Плоды выровненные, округлые, с носиком, устойчивы К растрескиванию. В кисти созревают равномерно, мясистые, нежные, сочные и транспортабельные. Обладают отменным вкусом. Хороши как в свежем виде, так и в соках, кетчупах и пр. Гибрид обладает комплексной устойчивостью к неблагоприятным условиям среды и основным болезням томатов.</t>
  </si>
  <si>
    <t>4620010896088</t>
  </si>
  <si>
    <t>Томат Завидный холостяк F1  0.05 гр. (ПС) 193432361</t>
  </si>
  <si>
    <t>Плоды крупные и вкусные, у всех на расхват! Эксклюзивная супер-новинка! Победитель конкурса «Лучший томат для консервирования и маринования». Раннеспелый (90-93 дня от всходов до начала созревания), урожай-обсыпной, детерминантный (высота 85-95 см), для открытого грунта и плёночных теплиц, завязывается при любой погоде. Плоды массой 85-110 г, малиновой окраски, без пустот, цилиндрические, мясистые, не трескаются, очень вкусные, все как на подбор - красавцы.</t>
  </si>
  <si>
    <t>4620010898860</t>
  </si>
  <si>
    <t>Томат Золотая Свадьба F1 0,03 гр (ПС)</t>
  </si>
  <si>
    <t>Новинка! Незабываемый десертный вкус! Раннеспелый (98-105 дней), детерминантный (100-120 см), высокоурожайный гибрид для выращивания в открытом грунте на шпалере, стеклянных и пленочных теплицах. Обладает уникальными, грушевидными, апельсиново-оранжевыми плодами массой до 150 г. Плоды устойчивы к растрескиванию, с десертным вкусом, очень сладкие и лежкие. Хороши как в свежем виде, так и в засолке, соках, кетчупах и т.д. Устойчив к кладоспориозу и вынослив к фитофторозу.</t>
  </si>
  <si>
    <t>4620010897306</t>
  </si>
  <si>
    <t>Томат Золотой батон F1 0.05гр (ПС)</t>
  </si>
  <si>
    <t>Это новый, современный раннеспелый (93-98 дней от полных всходов до созревания) гибрид для плёночных теплиц и открытого грунта. Растение индетерминатное (высота 1,5-1,8 м). Плоды перцевидные, крупные (100-180 г) с медовым отливом, мясистые, сладкие и очень вкусные, для свежего потребления и переработки. Хорошо завязываются при перепадах температур. Урожайность в плёночных теплицах 15-20 кг/м2. Обладает устойчивостью к грибным болезням.</t>
  </si>
  <si>
    <t>4620010896194</t>
  </si>
  <si>
    <t>Томат Золотой мужичок F1 0.05гр (ПС)</t>
  </si>
  <si>
    <t>Плоды на вес золота! Раннеспелый, до 220 г. Вам приумножит богатства наш Золотой мужичок!</t>
  </si>
  <si>
    <t>4620010894374</t>
  </si>
  <si>
    <t>Томат Золотые Яблочки черри (ПС)</t>
  </si>
  <si>
    <t>Раннеспелый (от всходов до начала созревания 90-95 дней),  высокоурожайный, индетерминантный гибрид для теплиц  и открытого грунта. Плоды округлые, устойчивы к растрескиванию,  массой 35-45г, золотисто-жёлтого цвета, с повышенным содержанием сахаров, витамина С, очень вкусные, ароматные и сладкие.</t>
  </si>
  <si>
    <t>4620010897269</t>
  </si>
  <si>
    <t>Томат Крымское сердце F1 0,05г (ПС)</t>
  </si>
  <si>
    <t>Это роскошный, современный, раннеспелый гибрид (период от всходов до созревания 95-98 дней) для выращивания в пленочных и стеклянных теплицах и открытом грунте. Растение индетерминатное (высота 1,8-2 м). Плоды выровненные, насыщенно малиново-красной окраски, массой 200-350г, оригинальной сердцевидной формы, мясистые, сахаристые, без белой сердцевины и без "косточки" внутри, невероятно вкусные и транспортабельные. В кисти зреют одновременно. Урожайность 22-25 кг/м2, Гибрид устойчив к альтернариозу и ВТМ.</t>
  </si>
  <si>
    <t>4620010896385</t>
  </si>
  <si>
    <t>Томат Малиновые купола  F1 (ПС)</t>
  </si>
  <si>
    <t>Уникальный томат с русским вкусом и настоящим томатным ароматом! Для всех регионов России. Раннеспелый, суперурожайный  гибрид (от всходов до начала технической спелости 90-95 дней), детерминантный (высота 70-80см), высокоурожайный  для выращивания в открытом грунте и под плёночными укрытиями. Плоды малиновые,  округлой формы с носиком, крупные (120-150г), мясистые, сочные и сладкие, необыкновенно вкусные. Используются для всех видов переработки. Обладает устойчивостью к основным болезням томата.</t>
  </si>
  <si>
    <t>4620010894527</t>
  </si>
  <si>
    <t>Томат Малиновые Яблочки черри (ПС)</t>
  </si>
  <si>
    <t>Раннеспелый (от всходов до начала созревания 95-98 дней),  высокоурожайный, детерминантный гибрид для теплиц  и открытого грунта.  Плоды округлые, плотные,  устойчивы к растрескиванию,  массой 45-55г, необыкновенно вкусные, ароматные и сладкие.</t>
  </si>
  <si>
    <t>4620010897177</t>
  </si>
  <si>
    <t>Томат Озорные каблучки F1 (ПС)</t>
  </si>
  <si>
    <t>Для выращивания во всех регионах России в плёночных теплицах и открытом грунте. Современный, сверхурожайный, раннеспелый (от всходов до уборки 93-95 дней), индетерминантный томат кистевого типа. Плоды тёмно-красные, 2-3-х камерные, лёжкие и транспортабельные, массой 100-110 г, очень сладкие и мясистые, универсального использования. Урожайность в плёночной теплице свыше 20 кг/м2. Гибрид обладает устойчивостью к чёрной бактериальной пятнистости, фузариозному и вертициллёзному увяданию. Толерантен к фитофторозу.</t>
  </si>
  <si>
    <t>4620010896040</t>
  </si>
  <si>
    <t>Томат Румяный мужичок F1 (ПС)</t>
  </si>
  <si>
    <t>Это тот томат, который Вы искали! Самый сладкий и вкусный! Небывалая урожайность и великолепная красота плодов. Это супер современный, нового класса томат предназначен для всех регионов России.</t>
  </si>
  <si>
    <t>4620010898792</t>
  </si>
  <si>
    <t>Томат Трубочист 0,05г (ПС) 332162455</t>
  </si>
  <si>
    <t>Среднеспелый (110-115 дней), индетерминантный (190-200 см), очень урожайный сорт для выращивания в открытом грунте, стеклянных и пленочных теплицах. Обладает уникальными, крупными, практически черными плодами массой до 300 г. Плоды с очень высокими вкусовыми и потребительскими качествами. Хороши как в свежем виде, так и в переработке.</t>
  </si>
  <si>
    <t>4620010897665</t>
  </si>
  <si>
    <t>Томат Царь Балкон F1 0,05г (ПС)</t>
  </si>
  <si>
    <t>Ультраранний (от 55 до 60 дней) урожайный гибрид для выращивания в открытом грунте, в контейнерах на террасах и балконах, с вкусными красными плодами черри диаметром 2–4 см и весом от 25 до 35 граммов. Растение штамбовое, не требует пасынкования, высотой до 45 см. Плоды очень сладкие, с прекрасными вкусовыми качествами. Хороши как в свежем виде, так и для цельноплодного консервирования.</t>
  </si>
  <si>
    <t>4620010898020</t>
  </si>
  <si>
    <t>Томат Шоколадный бык F1 0,05гр  (ПС)</t>
  </si>
  <si>
    <t>Суперурожайный гибрид, предназначенный для выращивания в теплицах и под плёночными укрытиями во всех регионах России. Растение индетерминантное, высотой 150-200 см., раннеспелое (от всходов до начала созревания 95-100 дней). Плоды очень крупные (200-300 г) оригинальной шоколадно-карамельной окраски, сердцевидной формы, мясистые, сочные, сладкие и потрясающе вкусные. Используются в свежем виде и для всех видов переработки. Обладает повышенной выносливостью основным болезням томата.</t>
  </si>
  <si>
    <t>4620010898730</t>
  </si>
  <si>
    <t>Тыква Бабуля 8 шт. (ПС)</t>
  </si>
  <si>
    <t>Раннеспелый сорт с  плодами длиной до 55 см и массой до 7 кг. Растение мощное, плетистое, с 4-7 боковыми побегами. Хорошо переносит засуху.  Полакомиться можно уже через 79 дней после всходов, а плоды на хранение убираются после 100 дней. Мякоть толстая, ярко- оранжевая, сладкая, практически без волокон. Используется для приготовления супов, каш, соков, цукатов, детского и диетического питания, отлично подходит для заморозки.</t>
  </si>
  <si>
    <t>4620010896248</t>
  </si>
  <si>
    <t>Ц Бархатцы Тигрята махровые 0,3 гр. (ПС)</t>
  </si>
  <si>
    <t>Однолетний, неприхотливый, декоративный сорт высотой 20-25 см. Растения сильно ветвятся и дают многочисленные боковые побеги. Соцветия махровые, плотные, диаметром 6-7 см. Цветение продолжительное, с начала лета и до самых заморозков. Используются в цветниках, группами на газонах, для украшения балконов и окон. Благодаря компактной форме растений, наилучшим образом подходят для выращивания в контейнерах и горшках. Обладают тонким и приятным ароматом.</t>
  </si>
  <si>
    <t>4620010891472</t>
  </si>
  <si>
    <t>Ц Петуния Белое море суперкаскадн. 10 шт. (ПС)</t>
  </si>
  <si>
    <t>Ярко-цветущее, изумительное однолетнее растение высотой 45 см. Цветки белой окраски, многочисленные, крупные, диаметром до 13 см. Цветение обильное и продолжительное, с июля и до заморозков. Компактные кустики с каскадами соцветий идеальны для цветочных аранжировок в висячих корзинах, а также для смешанных посадок в балконных ящиках.</t>
  </si>
  <si>
    <t>4620010898167</t>
  </si>
  <si>
    <t>Ц Петуния Жар любви крупноцв. 5 шт. (ПС) 208344554</t>
  </si>
  <si>
    <t>По-настоящему шикарный гибрид! Оборчатая грандифлора, которая отличается исключительной устойчивостью к погодным условиям с уникальными декоративными характеристиками. Цветки эффектные, крупные, диаметром 8-9 см, порадуют пышным и продолжительным цветением. Растения высотой до 35 см, великолепно смотрятся в цветниках, цветочных ящиках, горшках. Цветёт обильно и продолжительно. Гарантированно украсит ваши корзины, бордюры и контейнеры и даже будет цвести дольше, чем его конкуренты.</t>
  </si>
  <si>
    <t>4620010891496</t>
  </si>
  <si>
    <t>Ц Петуния Красная шапочка суперкаскадн. 10 шт. (ПС)</t>
  </si>
  <si>
    <t>Ярко-цветущее, изумительное однолетнее растение высотой 45 см. Цветки красной окраски, многочисленные, крупные, диаметром до 13 см. Цветение обильное и продолжительное, с июля и до заморозков. Компактные кустики с каскадами соцветий идеальны для цветочных аранжировок в висячих корзинах, а также для смешанных посадок в балконных ящиках.</t>
  </si>
  <si>
    <t>4620010895784</t>
  </si>
  <si>
    <t>Ц Примула 8 Марта 5 шт. (ПС) 193422303</t>
  </si>
  <si>
    <t>Уникальная форма цветка, супер модная и привлекательная! Многолетник. Высота растения 12-15 см. Диаметр цветка 3-4 см. Образует невероятное количество соцветий с плотными, миниатюрными бутонами, напоминающими розу. Идеальна для бордюров, каменистых садиков, приствольных кругов деревьев и кустарников, вазонов.</t>
  </si>
  <si>
    <t>4620010895845</t>
  </si>
  <si>
    <t>Ц Примула Черная жемчужина 5 шт. (ПС)</t>
  </si>
  <si>
    <t>Уникальная окраска цветка, супер модная и привлекательная!
Многолетник. Высота растения 12-15 см. Диаметр цветка 6-7см.
Очаровательная примула с ее необычной внешностью – «шапками» уникальной окраски цветков  на стройных стеблях – украсит даже самое изысканное общество первоцветов. Образует плотную розетку  листьев с невероятным количеством соцветий.  Идеальна для бордюров, каменистых садиков, приствольных кругов деревьев и кустарников, вазонов.</t>
  </si>
  <si>
    <t>4610008120912</t>
  </si>
  <si>
    <t>Арахис 5 шт. (СР) 196358777</t>
  </si>
  <si>
    <t>Сады России</t>
  </si>
  <si>
    <t>Земляной орех. Жителям умеренного российского климата это диво заморское можно вырастить в горшке у себя на окошке. Обычное на первый взгляд бобовое растение, высотой до 30 см, удивит своими необычными особенностями. Лёгкие, как бабочки, ярко-жёлтые цветки-мотыльки после оплодотворения отцветают и «зарываются» в землю, где на глубине 8-10 см формируются и созревают бобы с «орешками». Арахис – самоопылитель, поэтому не следует пытаться опылять цветки вручную.</t>
  </si>
  <si>
    <t>4680235020569</t>
  </si>
  <si>
    <t>Баклажан Алексеевский 10 шт. (СР)</t>
  </si>
  <si>
    <t>Великолепный, утонченно-изысканный ранний сорт с небольшими изящными жгуче-тёмно-фиолетовыми блестящими и гладкими плодами цилиндрической формы. Средняя масса 100—190 г, длина и диаметр 15—18 и 4—6 см соответственно. Мякоть белая, вкусовые качества отличные. От всходов до начала технической спелости 98—132 дня.</t>
  </si>
  <si>
    <t>4610008127300</t>
  </si>
  <si>
    <t>Баклажан Ультраранний 10 шт. (СР)</t>
  </si>
  <si>
    <t>Кусты невысокие, компактные, буквально с самой макушки до земли усыпаны красивыми тёмно-фиолетовыми плодами. Вкусовые качества всех блюд отменные.</t>
  </si>
  <si>
    <t>4680235013479</t>
  </si>
  <si>
    <t>Горох Асана 18 шт. (СР)</t>
  </si>
  <si>
    <t>Очень урожайный и дружно созревающий ранний сорт. Техническая спелость наступает рано, через 42—46 дней после появления всходов.</t>
  </si>
  <si>
    <t>4680235013486</t>
  </si>
  <si>
    <t>Горох Ауриго 18 шт. (СР)</t>
  </si>
  <si>
    <t>Раннеспелый дружно созревающий сорт. Длина стеблей от короткой до средней. Бобы изогнутые, узкие и длинные с тёмно-зелёными горошинами отличного вкуса. Урожайность хорошая.</t>
  </si>
  <si>
    <t>4680235050863</t>
  </si>
  <si>
    <t>Горох Бутана 18 шт. (СР)</t>
  </si>
  <si>
    <t>Высокоурожайный поздний (70 дней) сорт горошка с длинными слабоизогнутыми стручками по 10 больших сочно-зеленых горошин в каждом. Они нежные, очень вкусные, с высоким содержанием сахаров. Растение мощное (80-90 см), полубезлистного типа. Формирует двойные длинные стручки с концентрацией в верхней части растения. Помимо употребления в свежем виде прекрасно подойдет для заморозки и консервации. Сорт имеет высокую степень устойчивость к фузариозному вилту.</t>
  </si>
  <si>
    <t>4680235013516</t>
  </si>
  <si>
    <t>Горох Дакота 18 шт. (СР)</t>
  </si>
  <si>
    <t>Раннеспелый. Лущильный. Период от полных всходов до начала технической спелости горошка 39-49 дней.</t>
  </si>
  <si>
    <t>4610008128154</t>
  </si>
  <si>
    <t>Дайкон Белый слон 1 гр. (СР)</t>
  </si>
  <si>
    <t>Красивый, вкусный, среднеспелый гибрид с длинными (до 30 см) цилиндрическими корнеплодами. Кожура белая, мякоть сочная, плотная, вкус лишен редечной горечи. Полезен при диабете, бактериальных инфекциях, очистке печени и почек. Хранится до весны.</t>
  </si>
  <si>
    <t>Дайкон Мари F1 25 шт (СР)</t>
  </si>
  <si>
    <t>4680235058692</t>
  </si>
  <si>
    <t>Зира (кумин) 0,5 гр. (СР)</t>
  </si>
  <si>
    <t>Азиатская королева специй и один из обязательных ингредиентов узбекского плова. Ярко-выраженный приятный пряный запах и восхитительный ореховый вкус со сладковатыми нотками. Богатейший химический состав. Используется при приготовлении блюд из бобовых, мяса и птицы, тушеных овощей. Семена собирают с зонтиков так же, как с укропа. Растение кустовое неприхотливое, предпочитает солнечные и слегка влажные участки. Выращивают как однолетник.</t>
  </si>
  <si>
    <t>4610008127645</t>
  </si>
  <si>
    <t>Капуста б/к Белоснежка 16 шт. (СР)</t>
  </si>
  <si>
    <t>Позднеспелый гибрид (150-160 дней). Кочаны весом до 8 кг, очень сочные, плотные, на срезе белоснежные. Один из лучших засолочных гибридов.</t>
  </si>
  <si>
    <t>4610008127652</t>
  </si>
  <si>
    <t>Капуста б/к Боярыня 16 шт. (СР)</t>
  </si>
  <si>
    <t>Среднеранний (95 дней) гибрид. Лучший для засолки. Пригоден для зимнего хранения. Кочаны массой 5-7 кг. Этот ценный гибрид необходим на каждом садовом участке.</t>
  </si>
  <si>
    <t>4610008127669</t>
  </si>
  <si>
    <t>Капуста б/к Глафира 16 шт. (СР) 580589297</t>
  </si>
  <si>
    <t>Среднепоздний гибрид, от высадки рассады в грунт до технической спелости 130 дней. Капуста очень плотная, великолепно хранится до 7 месяцев. У этого гибрида два главных отличительных признака: он имеет очень красивый кочан и растёт на любых почвах.</t>
  </si>
  <si>
    <t>4680235001933</t>
  </si>
  <si>
    <t>Капуста б/к Кевин 16 шт. (СР) 288208005</t>
  </si>
  <si>
    <t>Скороспелый очаровательный гибрид-красавчик. Округлые светло-малахитовые, выровненные, как на подбор, плотные небольшие кочаны необыкновенно привлекательны. Так и хочется потрогать, а ещё лучше – попробовать это чудо селекции. Надо сказать, что не только внешний вид, но и вкусовые качества этой капусты просто изумительные. Свежие салаты поедаются с удивительной скоростью, но удовольствие можно продлить, если оставить кочаны на хранение. До 5 месяцев они сохраняют товарность и отменные вкусовые качества.</t>
  </si>
  <si>
    <t>4610008127713</t>
  </si>
  <si>
    <t>Капуста б/к Лебёдушка 16 шт. (СР)</t>
  </si>
  <si>
    <t>Раннеспелый гибрид (80-90 дней). Прекрасно подходит для северных районов с коротким прохладным летом. Практически в экстремальных условиях этот гибрид образует крупные кочаны и может подождать на корню лишние 10-16 дней. Растрескиваться не будет. Хорош и для употребления в свежем виде, и для квашения, и для хранения до середины зимы. Урожайность 9-10 кг/м2.</t>
  </si>
  <si>
    <t>4680235001964</t>
  </si>
  <si>
    <t>Капуста б/к Миррор 16 шт. (СР) 288208523</t>
  </si>
  <si>
    <t>Обладает титулом самого скороспелого гибрида: от всходов до уборки в защищённом грунте 45-50 дней, в полевых условиях возможно удлинение сроков. Кочаны ярко-зелёные, гладкие, блестящие, очень выровненные, радуют глаз и подпитывают ослабленный после зимы организм витаминами и полезными питательными веществами.</t>
  </si>
  <si>
    <t>4680235027469</t>
  </si>
  <si>
    <t>Капуста б/к Мишутка 16 шт. (СР) 252230732</t>
  </si>
  <si>
    <t>Великолепный гибрид отечественной селекции, выделяется надёжностью, красивой формой кочана и изумительным вкусом, особенно ярко выраженным в горячих блюдах. Созревание дружное. Кочаны, массой 2-3,5 кг, могут подождать сбора без потери качества до 30 дней.  От всходов до урожая 75-85 дней. Гибрид устойчив к растрескиванию и желтизне. Отлично хранится в течение 4-5 месяцев. Хорош в любых домашних блюдах и засолке.</t>
  </si>
  <si>
    <t>4610008127737</t>
  </si>
  <si>
    <t>Капуста б/к Несравненная 16 шт. (СР)</t>
  </si>
  <si>
    <t>Раннеспелый (80-90 дней) высокоурожайный гибрид с высоким содержанием сухих веществ и очень качественными однородными кочанами. Кочаны округло-плоские, массой до 8 кг, очень плотные, с короткой кочерыгой; могут долго храниться на корню, не растрескиваясь. Листья крупные, хрустящие, очень вкусные. Устойчив к фузариозному увяданию.</t>
  </si>
  <si>
    <t>4680235020453</t>
  </si>
  <si>
    <t>Капуста б/к Орион 16 шт. (СР) 218547166</t>
  </si>
  <si>
    <t>Прекрасный позднеспелый гибрид для длительного хранения. Созревает дружно, кочаны очень плотные, устойчивы к растрескиванию. Выход товарной продукции после 9 месяцев хранения более 80 %. Вкусовые качества отменные.</t>
  </si>
  <si>
    <t>4610008127751</t>
  </si>
  <si>
    <t>Капуста б/к Пудовая 16 шт. (СР)</t>
  </si>
  <si>
    <t>Среднепоздний гибрид-тяжеловес, период вегетации 135 дней. При хорошем уходе кочаны вырастают до 16 кг. Замечательного вкуса. Пригоден для хранения до 4-х месяцев, очень хорош в засолке. Щи из этой капусты несравнимы ни с какими другими!</t>
  </si>
  <si>
    <t>4610008127768</t>
  </si>
  <si>
    <t>Капуста б/к Снегурочка 16 шт. (СР) 186563328</t>
  </si>
  <si>
    <t>Среднепоздний (130-140 дней) гибрид, кочаны мощные, очень плотные, вкусные, белые, массой до 3-5 кг, прекрасно хранятся всю зиму. Один из самых долгохранящихся гибридов. Урожайность 5-11 кг/м2.</t>
  </si>
  <si>
    <t>4680235032241</t>
  </si>
  <si>
    <t>Капуста б/к Сонсма 16 шт. (СР) 186563281</t>
  </si>
  <si>
    <t>Нежная сочная ранняя капуста (45-50 дней) с кочаном необыкновенной конической формы. Кочанчик компактный, плотный, массой 0,8-2 кг, с зелеными кроющими листьями, внутренняя окраска светло-зеленая. Супербыстрое созревание, урожай собирают в мае-июне, при высадке рассады в грунт с апреля по май. Зрелые кочаны не растрескиваются. Урожайность 4-4,5 кг/м2.</t>
  </si>
  <si>
    <t>4680235042417</t>
  </si>
  <si>
    <t>Капуста б/к Фелисити 16 шт. (СР) 580590739</t>
  </si>
  <si>
    <t>Обладает, пожалуй, лучшими вкусовыми данными, которые может предложить белокочанная капуста! Гибрид с высокой устойчивостью к краевым ожогам листьев. Имеет форму японской плоской капусты. Листья тонкие, нежные и сладкие, а текстура легкая и хрустящая. Кочерыга короткая. Капуста предназначена для летнего и осеннего производства.</t>
  </si>
  <si>
    <t>4680235002046</t>
  </si>
  <si>
    <t>Капуста б/к Циклоп 16 шт. (СР) 580593427</t>
  </si>
  <si>
    <t>Среднеспелый гибрид с великолепными засолочными качествами. Кочаны увесистые, весом от 3 до 5 кг, компактные, с тонкой среднеплотной внутренней текстурой и короткой кочерыжкой. Сочный кочан с тонкими листьями легко шинкуется длинными полосками, а повышенное содержание сахаров и витамина С позволяет получать квашеную капусту высочайшего качества.</t>
  </si>
  <si>
    <t>4610008127775</t>
  </si>
  <si>
    <t>Капуста б/к Эверест 16 шт. (СР) 218548997</t>
  </si>
  <si>
    <t>Очень сочные, красивые, округлые и округло-плоские, крепкие кочаны светло-зеленые на разрезе, с небольшой кочерыгой. Самый продуктивный образец белокочанной капусты из группы гибридов для засолки и квашения. Урожайность и размеры рекордные. Холодостойкость и транспортабельность отличные. Имеет хорошие показатели лежкости — до 3 месяцев. Устойчива к фузариозу и растрескиванию.</t>
  </si>
  <si>
    <t>4680235027483</t>
  </si>
  <si>
    <t>Капуста б\к Доброводская 16 шт. (СР)</t>
  </si>
  <si>
    <t>Сорт среднепоздний. Урожайность достигает 14 кг/м2! Кочаны округлые, с превосходным вкусом. Благодаря сочности, лучше всего это капуста подходит для салатов и квашения. Не предназначен для долгого хранения.</t>
  </si>
  <si>
    <t>4680235002190</t>
  </si>
  <si>
    <t>Капуста цв. Брюс 12 шт. (СР) 682659566</t>
  </si>
  <si>
    <t>Поражает своей стремительной скороспелостью и абсолютной неприхотливостью. Устойчив к стрессам, недостатку тепла, даже к уровню минерального питания гораздо менее требователен по сравнению с другими сортами и гибридами. Формирует полноценный товарный урожай в течение 2 месяцев (55-60 дней) после высадки рассады. Головки с хорошей самоукрываемостью, молочно-белые, выровненные, весом около 1,5 кг.</t>
  </si>
  <si>
    <t>4610008127614</t>
  </si>
  <si>
    <t>Капуста цв. Дарья 12 шт. (СР)</t>
  </si>
  <si>
    <t>4680235037215</t>
  </si>
  <si>
    <t>Кассабанана Рамберт 3 шт. (СР) 196359114</t>
  </si>
  <si>
    <t>Ароматная сладкая заморская тыква. Экзотическая лиана, высотой до 2 м, с плодами по хим. составу близкому к тыкве, но со вкусом гораздо более сладким, сочной мякотью и дынным ароматом. По форме похожи на кабачки и достигают в длину 60 см. Кожица коричневая или фиолетовая, при созревании становится тёмно-оранжевой. Едят сырыми или готовят из них варенье, джемы. Плоды хранятся в течение нескольких месяцев. Незрелые плоды используют в свежем виде как огурец, а также жарят и тушат.</t>
  </si>
  <si>
    <t>4680235013783</t>
  </si>
  <si>
    <t>Кукуруза Турбо 10 шт. (СР)</t>
  </si>
  <si>
    <t>Среднеранний (70-75 дней) сорт-великан. Уверенно принимает эстафету у скороспелых коллег и продлевает сезон «кукурузного счастья». Початки слабоконические, длиной 19-20 см. Зёрна, как янтарные бусинки, жёлтяо-оранжевые, с тонкой нежной кожицей, отменного деликатесного вкуса. Нижний початок закладывает на высоте 59-65 см.</t>
  </si>
  <si>
    <t>4680235037192</t>
  </si>
  <si>
    <t>Кукуруза Хони Бентам 10 шт. (СР) 689420383</t>
  </si>
  <si>
    <t>Сверхранний гибрид (70-75 дней), который удается даже в наше короткое лето. Кроме скороспелости, отличается суперсладким вкусом початков, настолько нежных, что их вполне можно есть сырыми. Годятся они для консервирования и приготовления любых блюд, в том числе салатов. На каждом стебле в среднем по 4 золотисто-желтых плотных початка, массой 370-400 г. Очень неприхотливы к условиям, выращивают посевом семян в мае сразу в грунт. Длина початка 25-30 см.</t>
  </si>
  <si>
    <t>4680235013899</t>
  </si>
  <si>
    <t>Морковь Нантик Резистафлай 0,5 гр. (СР) 186563277</t>
  </si>
  <si>
    <t>Яркий представитель известного сортотипа Нантская. Среднеспелый. Корнеплоды цилиндрические, выровненные, ярко-оранжевые, с тонкой сердцевиной, очень сочные и сладкие, массой 79-180 г, содержание каротина высокое. Благодаря отменным вкусовым качествам идеально подходит для свежих салатов и соков. Хорошо хранится до 5-6 месяцев. Гибрид устойчив к цветушности. Урожайность 1,8-2,5 кг/м2.</t>
  </si>
  <si>
    <t>4610008126723</t>
  </si>
  <si>
    <t>Огурец Альпинист 12 шт. (СР) 365264464</t>
  </si>
  <si>
    <t>Замечательный раннеспелый (40-45 дней) партенокарпик корнишонного типа с букетным типом завязей. Его потрясающее свойство – давать высокие урожаи зеленцов при коротком световом дне. С успехом можно использовать для круглогодичного выращивания и в квартире на окне. Он неприхотлив и не требует тщательного ухода. Основной урожай формируется на главном стебле. В каждом междоузлии закладывается до 7 завязей. Плоды ровные, вытянутоцилиндрические, массой 70-100 г, длиной 9–11 см, ярко-зеленые, мелкобугорчатые, с небольшими светлыми шипами. Мякоть плотная, сладкая, без пустот, с уменьшенной семенной корзинкой. Практически не поражается болезнями огурца. Имеет самый растянутый срок плодоношения.</t>
  </si>
  <si>
    <t>4680235076528</t>
  </si>
  <si>
    <t>Огурец Бомбардир 5 шт. (СР)</t>
  </si>
  <si>
    <t>Новейший партенокарпический гибрид. Отличное сочетание скороспелости (35-40 дней), урожайности и высокой однородности плодов. В узлах формирует до трех завязей. Зеленцы длиной 12 см, крупнобугорчатые, темно-зеленые с короткими светлыми полосами, массой 85-90 г. Мякоть плотная, высоких вкусовых качеств. Гибрид устойчив к настоящей мучнистой росе, толерантен к вирусу пожелтения жилок огурца.</t>
  </si>
  <si>
    <t>4680235054489</t>
  </si>
  <si>
    <t>Огурец Гилрой 5 шт. (СР)* 364964684</t>
  </si>
  <si>
    <t>Мощный урожайный гибрид-партенокарпик со стабильным качеством урожая в стрессовых условиях. В течение всего оборота насыщенно-зеленые плоды, массой 80-120 г, отлично держат цвет и бугорчатость. Им присущи высокая привлекательность, завидная плотность и однородность. Длина плода 10–12 см. В узле закладывает 4 и более плодов. Гибрид среднеранний (35-40 дней). Генетически устойчив к кладоспориозу и гуммозу, ложной и настоящей мунистой росе, вирусу огуречной мозаики. Долго хранится без потери качества.</t>
  </si>
  <si>
    <t>4680235060039</t>
  </si>
  <si>
    <t>Огурец Городской огурчик F1 10шт (СР)</t>
  </si>
  <si>
    <t>Новый тип партенокарпического пучкового корнишона с некрупными листьями, короткими междоузлиями, большим количеством завязей и зеленцов. Благодаря своей повышенной теневыносливости отлично приспособлен для выращивания на подоконнике, балконах, лоджиях, верандах, а также в открытом и закрытом грунте. Зеленцы бугорчатые, белошипые, длиной 9-12 см, на длинной плодоножке. Вкус нежный, приятный, запах — насыщенно-огуречный. Мякоть плотная, хрустящая, с характерными мелкими семенами. Огурчики долго не перерастают и не желтеют. Засолочные качества высокие.</t>
  </si>
  <si>
    <t>4680235065348</t>
  </si>
  <si>
    <t>Огурец Ирлэнд 5 шт. (СР)* 364997971</t>
  </si>
  <si>
    <t>Суперпучковый гибрид для любителей красивого садоводства. Растение открытое, с изящными резными листьями, формирует букетные соцветия. В каждой пазухе 2–4 плода. Огурчики красивые, блестящие, с выраженной бугристостью, длиной 10–13 см. При перезревании удлиняются, но не бочкуются, горечь отсутствует. Пасынков не много, и они тоже работают на урожай. Не стрессует, не сбрасывает цветение.</t>
  </si>
  <si>
    <t>4610008126921</t>
  </si>
  <si>
    <t>Огурец Касатик 12 шт. (СР)</t>
  </si>
  <si>
    <t>Раннеспелый, от всходов до первого сбора 41—43 дня. Зеленец овально-цилиндрической формы, тёмно-зелёный с размытыми светлыми полосами. Поверхность матовая, крупнобугорчатая. Огурчики с плотной мякотью, массой 75—100 г. Вкусовые качества свежих и консервированных плодов высокие. Стабильная, ежегодная урожайность.</t>
  </si>
  <si>
    <t>4680235034221</t>
  </si>
  <si>
    <t>Огурец Манеки F1 3 шт.  (СР)</t>
  </si>
  <si>
    <t>4680235013981</t>
  </si>
  <si>
    <t>Огурец Орлёнок 12 шт. (СР)</t>
  </si>
  <si>
    <t>Чудо-огурцы для открытого грунта и плёночных укрытий. Тот огурец, который всегда и везде молодец! Огурчики очень симпатичные: короткие, зелёные с небольшими узкими светлыми полосками, среднебугорчатые, массой 75-90 г, превосходного вкуса, и в свежем виде хороши, и для засола и консервирования то, что надо. Устойчив к заболеваниям.</t>
  </si>
  <si>
    <t>4680235076542</t>
  </si>
  <si>
    <t>Огурец Племяш F1 12 шт. (СР)</t>
  </si>
  <si>
    <t>Один из самых ранних (37-40 дней) пчелоопыляемых гибридов корнишонного типа. Зеленцы веретеновидные, длиной 6–8 см, мелкобугорчатые, генетически без горечи, массой 70-85 г. Вкусовые качества превосходные. Отличается высокой дружностью отдачи урожая (за первый месяц плодоношения 5–6 кг/м2). Растение сильнорослое. Высокотолерантно к ложной мучнистой росе.</t>
  </si>
  <si>
    <t>4680235000356</t>
  </si>
  <si>
    <t>Огурец Сатина 6 шт. (СР)* 364894285</t>
  </si>
  <si>
    <t>Новый партенокарпический гибрид корнишонного типа для выращивания, в первую очередь, в открытом грунте. Благодаря средней силе роста, раннеспелости, генеративному типу развития растения позволяет достигать наивысших результатов по урожайности. Листья небольшие, что обеспечивает открытый тип растения, и тем самым, значительно облегчает сбор урожая. Плоды зеленой окраски, соотношение длины к диаметру 3,0:1,0. Хрустящая мякоть и нежная кожура, при этом плоды сохраняют характерную для гибридов компании Нунемс транспортабельность. Гибрид универсального назначения, идеально подходит для засолки. Именно поэтому компания МакДональдс использует засоленные плоды Сатины для приготовления своих гамбургеров.</t>
  </si>
  <si>
    <t>4610008126747</t>
  </si>
  <si>
    <t>Огурец Уральская дружная семейка 12 шт. (СР) 364988213</t>
  </si>
  <si>
    <t>Сверхранние тепличные огурцы пользуются особым спросом. Поэтому наши селекционеры упорно работают в этом направлении. И здесь настоящей находкой явился гибрид Дружная семейка. Уже на 37-й день после всходов появляются небольшие изящные огурчики. Растут они пучками, в каждом пучке 3-7 зеленцов. Гибрид очень светолюбивый. Причём существует чёткая закономерность: чем выше освещённость, тем больше завязей. Огурчики очень вкусные и в свежем, и в солёном, и в консервированном виде.</t>
  </si>
  <si>
    <t>4680235076559</t>
  </si>
  <si>
    <t>Огурец Фокус-покус 5 шт. (СР) 580602005</t>
  </si>
  <si>
    <t>Среднеранний (38-40 дней) партенокарпический гибрид с темно-зелеными продолговато-блоковидными плодами, массой 60-80 г. Огурчики крупнобугорчатые с мелкой семенной камерой. Мякоть плотная, сочная, сладковатая. Вкусовые качества очень высокие. Гибрид лежкий. Высоко толерантен к ложной мучнистой росе.</t>
  </si>
  <si>
    <t>4680235076566</t>
  </si>
  <si>
    <t>Огурец Хлопчик 12 шт. (СР) 682678161</t>
  </si>
  <si>
    <t>Ранний (44-50 дней) высокоурожайный гибрид-партенокарпик корнишонного типа с отлично развитой корневой и листовой системами, что позволяет выращивание при дефиците влаги. Мякоть сочная, плотная. Вкус великолепный. Период плодоношения длительный. Высокая комплексная устойчивость к заболеваниям.</t>
  </si>
  <si>
    <t>4680235052645</t>
  </si>
  <si>
    <t>Огурец Шоша 5 шт. (СР) 780122327</t>
  </si>
  <si>
    <t>Без преувеличения заявляем, что этот гибрид – один из лучших гибридов в России. «Такие маленькие растения, а столько огурчиков!», воскликните вы. Они сочные, хрустящие, в меру сладкие, генетически без горечи и пустот, очень душистые и вкусные. Цилиндрической формы, тёмно-зелёные, крупнобугорчатые, с белым опушением, 9-11 см, массой 50-80 г. Гибрид раннеспелый (39-43 дня) партенокарпический с женским типом цветения. В узле формирует до 3-х завязей. Урожай отдает дружно. Показывает замечательные результаты по завязываемости плодов в холодное лето. Выдерживает резкие перепады температур. Устойчив к мучнистой росе, обыкновенной огуречной мозаике и толерантен к пероноспорозу.</t>
  </si>
  <si>
    <t>4680235076573</t>
  </si>
  <si>
    <t>Огурец Якама 5 шт. (СР) 580603767</t>
  </si>
  <si>
    <t>Среднеранний (37-40 дней) гибрид-партенокарпик, устойчивый к перерастанию и бочкованию. Зеленцы очень однородные, плотные, 11-12 см в длину, массой 85-90 г. Растения мощные, завязывают до 4-хчетырех и более плодов в узле. Генетически устойчив к бурой пятнистости, настоящей мучнистой росе и вирусу огуречной мозаики.</t>
  </si>
  <si>
    <t>4680235037345</t>
  </si>
  <si>
    <t>Пепино 3 шт. (СР)</t>
  </si>
  <si>
    <t>4680235051075</t>
  </si>
  <si>
    <t>Перец Забор желтый 5 шт. (СР) 317599216</t>
  </si>
  <si>
    <t>Ранние (105-110 дней) гибриды с узкотреугольными плодами, характерными для сортотипа Капия, длиной до 20 см, в диаметре 3-4 см, плотные (толщина стенки 4-5 мм), светло-зелёные в технической спелости, огненно-красные и насыщенно-желтые в биологической, массой 90-120 г. Вкусовые качества на самом высоком уровне. Растения индетерминантные (150-200 см), обычно формируются в 3-4 стебля. Если дать растениям развиваться самостоятельно, бывает до 6-7 стеблей. Более прохладные температуры удлиняют срок вегетации, но увеличивают урожайность. Устойчивы к вирусу табачной мозаики и вирусу бронзовости. Устойчивы к температурным стрессам. Выращиваем с подвязкой к опоре. Для теплиц и открытого грунта.</t>
  </si>
  <si>
    <t>4680235051068</t>
  </si>
  <si>
    <t>Перец Забор красный 5 шт. (СР) 317597687</t>
  </si>
  <si>
    <t>Перцы серии Забор – ранние (105-110 дней) гибриды с узкотреугольными плодами, характерными для сортотипа Капия, массой 90-120 г, длиной до 20 см, в диаметре 3-4 см, плотные (толщина стенки 4-5 мм), светло-зелёные в технической спелости, огненно-красные и насыщенно-желтые в биологической. Вкусовые качества на самом высоком уровне. Растения индетерминантные (150-200 см), обычно формируются в 3-4 стебля. Если дать растениям развиваться самостоятельно, бывает до 6-7 стеблей. Более прохладные температуры удлиняют срок вегетации, но увеличивают урожайность. Устойчивы к вирусу табачной мозаики и вирусу бронзовости. Устойчивы к температурным стрессам. Выращиваем с подвязкой к опоре. Для теплиц и открытого грунта.</t>
  </si>
  <si>
    <t>4680235076580</t>
  </si>
  <si>
    <t>Перец Квадратто д'Асти жёлтый 5 шт. (СР) 580618779</t>
  </si>
  <si>
    <t>Серия одних из самых крупноплодных сладких перцев в мире! Плоды цилиндрически-кубовидные с толщиной стенки 7-10 мм, мясистые, исключительно ароматные с повышенным содержанием сахаров, массой 300-450 г. Вкус великолепный! Мякоть сочно-хрустящая, сладкая с медовыми нотками. Сорта суперурожайные, устойчивые к болезням и низким температурам, отличаются длительным плодоношением.</t>
  </si>
  <si>
    <t>4680235076597</t>
  </si>
  <si>
    <t>Перец Квадратто д'Асти красный 5 шт. (СР)  580617484</t>
  </si>
  <si>
    <t>Серия одних из самых крупноплодных сладких перцев в мире! Плоды цилиндрическоцилиндрически-кубовидные с толщиной стенки 7-10 мм, мясистые, исключительно ароматные с повышенным содержанием сахаров, массой 300-450 г. Вкус великолепный! Мякоть сочно-хрустящая, сладкая с медовыми нотками. Сорта суперурожайные, устойчивые к болезням и низким температурам, отличаются длительным плодоношением.</t>
  </si>
  <si>
    <t>4610008127355</t>
  </si>
  <si>
    <t>Перец Лидер 10 шт. (СР) 580621583</t>
  </si>
  <si>
    <t>Сверхранний. От всходов до технической спелости проходит всего 95—100 дней. Интенсивно растёт и непрерывно плодоносит. Плоды весом до 110 г в технической спелости зелёные, в биологической — красные. Вкус отличный. Толщина стенки 6—6,5 мм. Плоды хороши в свежем виде, но особенно удобны для фаршировки. Урожайность 12 кг/м2. Схема посадки 60х50 см.</t>
  </si>
  <si>
    <t>4680235014209</t>
  </si>
  <si>
    <t>Перец Омброне 5 шт. (СР) 186563244</t>
  </si>
  <si>
    <t>Мощный, высотой 50-100 см, среднеспелый (62-65 дней) гибрид с высокой энергией роста. Впечатляет размерами эффектных блестящих глянцевых густо-красных кубовидных плодов длиной до 15-18 см и диаметром 10-12 см, с толщиной стенки 8 мм, массой 300-400 г. Урожайность 5,8 кг/м2.</t>
  </si>
  <si>
    <t>4680235042493</t>
  </si>
  <si>
    <t>Перец Оранжевый мармелад 5 шт. (СР)</t>
  </si>
  <si>
    <t>Это перец словно самый настоящий мармелад: необычайно яркий и удивительно сладкий. Урожай длительный и богатый. Плоды крупные четырехкамерные с толстыми стенками и восхитительным вкусом, то, что нужно для свежих салатов. Поспевает рано и имеет прекрасную защиту от вирусов и болезней.</t>
  </si>
  <si>
    <t>4680235052669</t>
  </si>
  <si>
    <t>Перец Пламенный 5шт (СР) 622459898</t>
  </si>
  <si>
    <t>Ультраранний перец «Пламенный» созревает за 95-100 дней, формируя трапециевидные крупные плоды массой 100-120 г с толщиной стенки 5-6 мм. Гибрид отличается ярким вкусом, высокой урожайностью (8-10 кг/м²) и способностью краснеть на корню. Обладает устойчивостью к вирусу табачной мозаики, адаптирован для неблагоприятных условий и северных регионов. Рекомендуется формировка в 1-2 стебля и выращивание в открытом и закрытом грунте.</t>
  </si>
  <si>
    <t>4680235052683</t>
  </si>
  <si>
    <t>Перец Ревия 5 шт. (СР) 317607533</t>
  </si>
  <si>
    <t>Бывают люди, которые выглядят, как с обложки глянцевого журнала. А бывают и такие сладкие перцы. Невероятный красавец! Впечатляющий размер, шикарные аппетитные формы, мясистая сочная мякоть и какой-то совершенно волшебный цвет оранжевой карамели. Даже малочисленные семена будто выложены мозаикой. Плоды кубовидно-удлиненные, 3-4-камерные, массой 150-250 г, очень вкусные. Сорт раннеспелый (95-100 дней). Для первых витаминных салатов и переработки. Для открытого и закрытого грунта.</t>
  </si>
  <si>
    <t>4680235059057</t>
  </si>
  <si>
    <t>Перец Саурон 3 шт. (СР) 317609209</t>
  </si>
  <si>
    <t>У нас есть достойный восхищения могущественный представитель «перечного пантеона», носящий имя персонажа романа Толкина «Властелин колец». Плоды длиной 22 см и около 5 см в диаметре интенсивно-красного цвета с шоколадными полосами и плотной хрустящей мякотью, массой 300-350 г. Гибрид нового поколения. Вкусовые качества самые высокие. Куст открытый (70-90 см). Гибрид устойчив к основным заболеваниям.</t>
  </si>
  <si>
    <t>4680235018610</t>
  </si>
  <si>
    <t>Перец Эскимо 5 шт. (СР) 304661179</t>
  </si>
  <si>
    <t>Надежный и простой в выращивании ранне- или среднеспелый гибрид с великолепными внешними данными и высокой урожайностью. Техническая спелость наступает в среднем через 100-105 дней после всходов, биологическая – на 2-3 недели позже. Плоды красивой кубовидной формы, гладкие, глянцевые, трех-, четырехкамерные, массой 150-400 г, в технической спелости темно-зеленые, в биологической насыщенно красные, толстостенные (толщина стенки 8 мм), отличного вкуса. Выращивают в открытом грунте и под пленочными укрытиями.</t>
  </si>
  <si>
    <t>4680235051051</t>
  </si>
  <si>
    <t>Перец Эспартано 5 шт. (СР) 288168465</t>
  </si>
  <si>
    <t>Раннего срока созревания (65-70 дней). Растение полураскидистое, высотой 70-90 см. Внушительный размер (11-13 см в диаметре), красивые взбитые формы, невероятно хрустящая мякоть и наливной желто-оранжевый цвет. Масса плодов 250-300 г. Урожайность 8-10 кг/м2. Устойчив к вирусу табачной мозаики. Для теплиц и открытого грунта.</t>
  </si>
  <si>
    <t>4610008128086</t>
  </si>
  <si>
    <t>Редис Золотник 1 гр. (СР)</t>
  </si>
  <si>
    <t>Холодостойкий гибрид из уральской коллекции редиса. Корнеплоды шаровидные, ярко-красного цвета, с интенсивным блеском, массой до 40 г. Созревание дружное. Мякоть белая, сочная, долго не дряблеет, сохраняет товарный вид и отличные вкусовые качества. Листовой аппарат короткий. Устойчив к стрелкованию, увяданию и пожелтению ботвы.</t>
  </si>
  <si>
    <t>4610008128109</t>
  </si>
  <si>
    <t>Редис Марс 1 гр. (СР) 689692497</t>
  </si>
  <si>
    <t>Лист короткий, корнеплод округлый, с тонким корешком, приятного красного цвета, рекордно крупный. Мякоть белая, очень нежная, сочная и вкусная.</t>
  </si>
  <si>
    <t>4680235037673</t>
  </si>
  <si>
    <t>Редис Сахарна головушка 1 гр. (СР) 689777649</t>
  </si>
  <si>
    <t>Для самых вкусных весенних салатиков и окрошки. Раннеспелый (25-30 дней), холодостойкий и неприхотливый гибрид с круглыми редисками одинакового размера и насыщенного темно-красного цвета. Мякоть плотная, без пустот с очень приятным освежающим и мягким вкусом без резкости. Благодаря сильной и мощной ботве легко переносит жару и длинный день, поэтому можно выращивать в течение всего лета. Годится для открытого грунта.</t>
  </si>
  <si>
    <t>4610008127935</t>
  </si>
  <si>
    <t>Свекла Аксинья 1 гр. (СР)</t>
  </si>
  <si>
    <t>Очень ранний сорт. Срок созревания  через 95 дней после посева. Плод округой формы. Очень вкусный.</t>
  </si>
  <si>
    <t>4610008127966</t>
  </si>
  <si>
    <t>Свекла Дочь Цилиндры 1 гр. (СР)</t>
  </si>
  <si>
    <t>Кто из огородников не слышал про легендарную свёклу «Цилиндра»! У многих даже само название «свёкла» ассоциируется именно с «Цилиндрой». И вот в результате упорных трудов нашим селекционерам удалось, наконец, воспитать «Дочь Цилиндры». Она по всем статьям превосходит свою знаменитую мамашу. Вкусная, красивая, урожайная. Вы обязательно «удочерите» на своём огороде этот гибрид.</t>
  </si>
  <si>
    <t>4610008128000</t>
  </si>
  <si>
    <t>Свекла Лукерья 1 гр. (СР)</t>
  </si>
  <si>
    <t>Среднеспелый гибрид. Розетка листьев компактная, небольшая, корнеплоды выровненные, средних размеров, масса 200 - 250 гр. отличаются прекрасной лежкостью.</t>
  </si>
  <si>
    <t>4610008128048</t>
  </si>
  <si>
    <t>Свекла Улыбка фортуны 1 гр. (СР)</t>
  </si>
  <si>
    <t>Универсальный сорт. Редкое сочетание скороспелости и лежкости. Высокие вкусовые качества, интенсивная окраска.</t>
  </si>
  <si>
    <t>4610008128055</t>
  </si>
  <si>
    <t>Свекла Чудесница 1 гр. (СР)</t>
  </si>
  <si>
    <t>Среднепоздний Гибрид. Прекрасно хранится до нового урожая, при этом совершенно не теряет упругости и сохраняет великолепные вкусовые качества. Масса корнеплода 111-212 гр, мякоть темно-красная, без кольцеватости. Устойчивость к цветушности, болезням и стрелкованию .Свекла пригодна для потребления в свежем виде и переработки.Требовательна к свету, влажности почвы.</t>
  </si>
  <si>
    <t>4610008126136</t>
  </si>
  <si>
    <t>Томат Абрикос 15 шт. (СР) 207678562</t>
  </si>
  <si>
    <t>Cреднеспелый, детерминантный гибрид томата для открытого грунта и пленочных укрытий. Куст низкорослый. Плоды округлые, в стадии зрелости насыщенного желтого цвета, весом 80-100 грамм, сладкие, вкусные.</t>
  </si>
  <si>
    <t>4680235046958</t>
  </si>
  <si>
    <t>Томат Алая заря 5 шт. (СР) 280718026</t>
  </si>
  <si>
    <t>Помидоры выровненной сердцевидной формы, розового цвета с желтыми "плечиками" с потрясающим сладковатым вкусом, собраны в увесистые кисти, массой 450-600 г. Мякоть нежная, тающая. Тот случай, когда просто нарезать, посолить и уплетать, прикусывая зеленым лучком. Сорт индетерминантный (160 см), среднеспелый (125 дней). Куст мощный с поникающим листом. Для закрытого грунта. Урожайность 7-8 кг/м2.</t>
  </si>
  <si>
    <t>4680235065287</t>
  </si>
  <si>
    <t>Томат Алинка 5 шт. (СР) 317615107</t>
  </si>
  <si>
    <t>Новый, абсолютно надежный, холодостойкий и жаростойкий одновременно, детерминантный гибрид (75-85 см). Даже в самое дождливое и холодное лето, когда помидоров ни у кого не будет, вы гарантированно получите отменный урожай. Ведро с куста! Помидоры красивые, очень вкусные, массой 100-180 г. Хорошо хранятся, прекрасно зарекомендовали себя во всех видах консервации, в сушке и вялении. В свежем виде просто превосходны! Кусты отличаются не только высокой производительностью, но и устойчивостью к фитофторозу. Проще всего вырастить этот гибрид в открытом грунте.</t>
  </si>
  <si>
    <t>4680235000455</t>
  </si>
  <si>
    <t>Томат Алые паруса 12 шт. (СР) 499335169</t>
  </si>
  <si>
    <t>Великолепный гибрид-шедевр никогда не обманет надежды. Удачно сочетает раннеспелость (от всходов до созревания 95-100 дней) с высокой продуктивностью и отличным качеством урожая. Плоды очень красивые, алые, большие (250-300 г), округлые, слаборебристые. Под насыщенно-красной кожицей яркая тёмно-малиновая арбузная мякоть, на разломе зернистая, сахарная, изумительно вкусная, нежная, тающая. Растение малооблиственное, в теплицах достигает высоты 150-170 см, пасынкуется обязательно в один стебель.</t>
  </si>
  <si>
    <t>4680235042097</t>
  </si>
  <si>
    <t>Томат Альбенги 5 шт. (СР) 677469733</t>
  </si>
  <si>
    <t>Сорт очень популярный на фермерских рынках итальянского Средиземноморья. Плотные, крупные помидоры с ярко выраженной ребристостью и насыщенным красным тоном. Мякоть мясистая, невероятно сочная, сладкая, почти не содержит семян, то, что надо для превосходной пасты и отличного сока. Растение индетерминантное, урожайное, продолжительного плодоношения. Хорошо адаптируется к погодным условиям.</t>
  </si>
  <si>
    <t>4680235076610</t>
  </si>
  <si>
    <t>Томат Амур-Амур 5 шт. (СР) 580627755</t>
  </si>
  <si>
    <t>Фантастический урожай – до сотни помидоров в кисти! Когда поспевают плоды, каждая кисть весит несколько килограммов! Помидорки овальной формы с носиком, массой 30-40 г, созревают одновременно. Вкус очень хороший для раннего сорта, сладкий, десертный. Растение компактное (60-80 см). Сорт раннеспелый (90-100 дней), детерминантный. На длительное хранение срезать кистями.</t>
  </si>
  <si>
    <t>4680235059118</t>
  </si>
  <si>
    <t>Томат Арахис 5 шт. (СР) 253795923</t>
  </si>
  <si>
    <t>Суперурожайный сорт, имеет в кисти до 30 штук лимонно-желтых ламповидных плодов, массой 180-200 г. Они упругие, мясистые, мякоть зернистая, нежная. Высокие вкусовые качества с выраженным характерным ароматом. Великолепно ведут себя на гриле и при запекании в духовке. Сорт среднеранний (110-115 дней), индетерминантный (180-200 см), устойчивый к заболеваниям. Урожайность 10-12 кг/м2.</t>
  </si>
  <si>
    <t>4680235014650</t>
  </si>
  <si>
    <t>Томат Бабье лето  10 шт. (СР) 203613917, 280204071</t>
  </si>
  <si>
    <t>Гиперурожайный индетерминантный гибрид (160-180 см). От всходов до созревания плода 90-100 дней. Плоды красно-оранжевого цвета, массой 300 г. Рекомендуется для выращивания в открытом грунте и пленочных теплицах.</t>
  </si>
  <si>
    <t>4680235014667</t>
  </si>
  <si>
    <t>Томат Бальзам 15 шт. (СР) 254435053</t>
  </si>
  <si>
    <t>Единственный в своём роде настоящий сорт-бальзам. Отличается совершенно неповторимым изумительным вкусом: дегустационная оценка 6++(!) зашкаливает общепринятый максимум в 5 баллов. Плоды эффектные, сочно-красные, округлые, плотные и мясистые, кисти букетные. Растения крепкие, в период созревания плодов очень нарядные, радуют урожаем и отменным качеством — просто бальзам на душу. Сроки созревания средние.</t>
  </si>
  <si>
    <t>4680235054281</t>
  </si>
  <si>
    <t>Томат Блестящий дебют 10 шт. (СР) 254436900</t>
  </si>
  <si>
    <t>Это один из лучших помидоров в своем сегменте. Бесконечное количество цветов и практически то же самое количество завязей. Плоды небольшие, но очень вкусные с ярко-выраженным томатным ароматом, массой 95-110 г. Хранятся до 3х недель. Сорт ранний (95-105 дней), детерминантный (60-80 см), куст полураскидистый и небольшой, облеплен плодами. Не требует формировки. Плодоношение раннее и продолжается до заморозков. Обладает высокой устойчивостью к болезням, в том числе фузариозу и вершинной гнили.</t>
  </si>
  <si>
    <t>4680235011802</t>
  </si>
  <si>
    <t>Томат Бобкат 10 шт. (СР) 280784896</t>
  </si>
  <si>
    <t>Тот самый случай, когда по внешним данным можно смело говорить о внутреннем содержании. Плоды Бобката выглядят настолько аппетитно, что возникает стойкое желание немедленно отведать эти помидоры. Они красивые, плотные и при этом наивкуснейшие; одинаковые по размеру, независимо от того, какой по счету урожай. Растение детерминантное с высокой плодоотдачей, хорошо приспосабливается к засухе. Плоды отлично хранятся, не подвержены растрескиванию. Гибрид имеет иммунитет к фузариозу, вертициллезу, стемфиллиуму.</t>
  </si>
  <si>
    <t>4610008126662</t>
  </si>
  <si>
    <t>Томат Боливар 15 шт. (СР) 580628897</t>
  </si>
  <si>
    <t>Если Вы хотите каждый год в открытом грунте гарантированно получать высокие урожаи помидоров, то Вам совершенно необходимо сажать наши суперпомидоры. Они абсолютно надёжны. Даже в самое дождливое и холодное лето, когда помидоров ни у кого не будет, Вы получите отличный урожай. Эти гибриды коренным образом отличаются от всего то, что мы предлагали Вам раньше. Они превзошли даже самые лучшие гибриды прошлых лет. Очень мощные, невысокие кусты, потрясающая урожайность. Они приблизительно в 1,5 раза урожайнее, чем их предшественники. Отменная крупноплодность, великолепный вкус. Все помидоры ровные и красивые, как на подбор. Это следующее поколение селекции, и с этим фактом нельзя не считаться.</t>
  </si>
  <si>
    <t>4680235037451</t>
  </si>
  <si>
    <t>Томат Бонапарт 3 шт. (СР) 207682848</t>
  </si>
  <si>
    <t>Индетерминантный (до 2 м) гибрид. Срок от всходов до созревания 50-55 дней. Плоды ярко-малиновой окраски, сливовидной формы, массой 170 г (при формировке кисти на 3-4 плода – до 500 г). Имеют замечательный вкус и аромат. Не растрескиваются. Устойчивы к основным болезням томата: вирусу табачной мозаики, фузариозному увяданию, стемфилиуму, бурой (оливковой) пятнистости и желтой курчавости листьев.</t>
  </si>
  <si>
    <t>4680235032210</t>
  </si>
  <si>
    <t>Томат Брутус 12 шт. (СР) 677493922</t>
  </si>
  <si>
    <t>Томат–гигант. Мясистые, многокамерные, сильно ребристые и плотные плоды диаметром до 20 см, массой до 1,5 кг! Цвет яркий, насыщенно красный, без пятна у плодоножки. Отличный вкус и повышенное содержание сахаров делают этот сорт лучшим выбором для приготовления салатов и сока. Выращивают в закрытом грунте. Индетерминантного типа (95 см), формируют в один стебель. Из-за значительной массы плодов подвязка обязательна. Сильнорослый, среднеранний (97-110 дней). Урожайность с куста до 10 кг.</t>
  </si>
  <si>
    <t>4610008126365</t>
  </si>
  <si>
    <t>Томат Бугай 12 шт. (СР) 541699475</t>
  </si>
  <si>
    <t>Детерминантный гибрид.Плоды  красно-оранжевые, рельефные, мясисты, с мелкозернистой мякотью и весомой приятной тяжестью, каждый массой до 1 кг!  Куст мощный, хорошо облиственный, при достаточном питании даёт богатые урожаи.</t>
  </si>
  <si>
    <t>4680235027414</t>
  </si>
  <si>
    <t>Томат Вишневый поцелуй 3 шт. (СР) 677523693</t>
  </si>
  <si>
    <t xml:space="preserve"> НОВИНКА!
Нарядные кусты просто увешаны гирляндами красивых плодов, массой 16 г. Помидоры скороспелые, созревают за 48 дней. У маленьких плодов очень сбалансированный вкус, поэтому они понравятся всем членам семьи. Этот детерминантный гибрид (25 см) создан специально для выращивания в балконных ящиках, высоких вазонах или подвесных кашпо.</t>
  </si>
  <si>
    <t>4610008126679</t>
  </si>
  <si>
    <t>Томат Восток 15 шт. (СР) 280849081</t>
  </si>
  <si>
    <t>Детерминантный гибрид (60-65 см). Особенно ценится своим ранним плодоношением (85-95 дней). Отличается хорошей урожайностью, содержание витаминов и биологически активных веществ в полтора-два раза больше, чем в тепличных помидорах. Плоды массой до 200 г. Урожайность 14-15 кг/м2.</t>
  </si>
  <si>
    <t>4610008126686</t>
  </si>
  <si>
    <t>Томат Восход 15 шт. (СР) 253806658</t>
  </si>
  <si>
    <t>Мощные невысокие кусты (60-65 см), потрясающая урожайность (14-15 кг/м2). От всходов до плодоношения 100-110 дней. Отменная крупноплодность (250-300 г), великолепный вкус. Все помидоры ровные и красивые, как на подбор.</t>
  </si>
  <si>
    <t>4610008126181</t>
  </si>
  <si>
    <t>Томат Герой ранних 15 шт. (СР) 307920812</t>
  </si>
  <si>
    <t>Пусть маленькая, но очень выразительная звёздочка в богатейшей коллекции уральских томатов. Гибрид (высотой 50 см) созревает через 110-115 дней после всходов и в любое лето радует дружным урожаем откалиброванных (50-70 г) ярких, как огоньки, слегка удлинённых плодов, очень сочных и изумительно вкусных. Урожайность 10-120 кг/м2.</t>
  </si>
  <si>
    <t>4680235059125</t>
  </si>
  <si>
    <t>Томат Глинтвейн 5 шт. (СР)</t>
  </si>
  <si>
    <t>Необыкновенно красивый с фиолетово-черно-коричневыми плоскоокруглыми плодами и пурпурно-вишневой очень сладкой мякотью с пряным ароматом. Вкус богатый, насыщенный. В кисти завязывает 4–6 плодов, массой 350-500 г. Сорт среднеранний (115-120 дней), урожайный, преимущественно салатного назначения. Куст индетерминантный (150-180 см), крепкого сложения.</t>
  </si>
  <si>
    <t>4680235047382</t>
  </si>
  <si>
    <t>Томат Голд раш 3 шт. (СР) 677548866</t>
  </si>
  <si>
    <t>Коктейльные ярко-желтые упругие "сливки" с чудесным вкусом и отличными внешними данными, массой 60-80 г. Сильные растения с мощной развитой корневой системой и хорошей адаптацией к пониженной освещенности. Гибрид среднеспелый (95-100 дней) индетерминантный (до 2 м). Прекрасно адаптируется к различным условиям выращивания и воздействию стрессовых факторов. Устойчив к вирусу мозаики томата, фузариозу, кладоспориозу.</t>
  </si>
  <si>
    <t>4680235059187</t>
  </si>
  <si>
    <t>Томат Горыныч 5 шт. (СР) 280441667</t>
  </si>
  <si>
    <t>Сладкий и мясистый перцевидный помидор яркого алого цвета с изящным изогнутым носиком, массой 150-250 г. Вкусовые качества отличные. Плоды практически не содержат сока, не склонны к растрескиванию, пригодны для вяления, заморозки и фаршировки. Сорт среднеспелый (110-115 дней), очень урожайный, плодоносит до конца сентября. Устойчив к неблагоприятным условиям выращивания. Растение индетерминантное (180-200 см). Формируем в 2–3 стебля.</t>
  </si>
  <si>
    <t>4680235020170</t>
  </si>
  <si>
    <t>Томат Гранадеро 5 шт. (СР)</t>
  </si>
  <si>
    <t>Высокоурожайный среднеспелый гибрид-восторг с очень привлекательными, исключительно выровненными, однородными по форме и массе большими (от 145 до 160 г) гладкими сливовидными плодами с повышенным содержанием сахаров и пламенно-красного пигмента страсти — ликопина. Вкус отличный, товарность и транспортабельность высокие. Первые сборы в плёночных теплицах через 110—115 дней после всходов, отдача урожая равномерная, продолжительная.</t>
  </si>
  <si>
    <t>4680235076627</t>
  </si>
  <si>
    <t>Томат Громадин 12 шт. (СР) 580631305</t>
  </si>
  <si>
    <t>Сверхкрупноплодный гибрид нового поколения. Плоды розовые с алым отливом, глянцевые, массой до 1,5 кг. Мякоть нежная, сахаристая, практически без семян. Вкусовые характеристики одни из самых высоких. Предназначены для свежего потребления. Гибрид ранний (100-110 дней) детерминантный (90-100 см). Рекомендуем не загущать посадку. Для выращивания в теплицах и открытом грунте.</t>
  </si>
  <si>
    <t>4680235034160</t>
  </si>
  <si>
    <t>Томат Грушевидный перчик 10 шт. (СР) 580632829</t>
  </si>
  <si>
    <t>К моменту созревания плодов кусты Грушевидного перчика как будто загораются множеством ярко-алых блестящих бочковидных лампочек. Они оригинальной формы, крепкие, плотные, красивые с желтыми плечиками, которые потом краснеют. Обладают очень высокими вкусовыми качествами. Хороши как в свежем виде, так и в приготовлении. Плоды этого сорта, массой 300-370 г, придадут аппетитную окраску лечо и другим овощным салатам. Незаменим «перчик» и для получения вкуснейшего томатного сока. Куст индетерминантный, рослый (100-115 см). Отдача урожая дружная. Сорт устойчив к основным болезням.</t>
  </si>
  <si>
    <t>4680235000417</t>
  </si>
  <si>
    <t>Томат Гулливер 15 шт. (СР) 541701280</t>
  </si>
  <si>
    <t xml:space="preserve">    Cама доброта и щедрость. Плодоношение обильное, раннее (90-95 дней от всходов до первых сборов), с дружной отдачей урожая.</t>
  </si>
  <si>
    <t>4680235065294</t>
  </si>
  <si>
    <t>Томат Гусли 5 шт. (СР) 317625096</t>
  </si>
  <si>
    <t>При компактных размерах зашкаливающая урожайность в любых условиях (90-100 дней): в горшке на подоконнике или балконе, в теплице или на грядке. А как приятно укладывать в банку гладкие вытянутые красные помидорки, длиной 10-15 см, массой 100-150 г. Хороши они и для вяления. Такие зимние заготовки украсят любой праздничный стол. Кусты низкие и крепкие (60-70 см), но кисти очень многоплодные, требуют подвязки</t>
  </si>
  <si>
    <t>4680235047399</t>
  </si>
  <si>
    <t>Томат Гюзель 5 шт. (СР) 253837617</t>
  </si>
  <si>
    <t>Ультраранний (85-95 дней) гибрид, высотой 70-80 см, с характерным концентрированным созреванием сразу трех первых кистей, что позволит вам получить высокий урожай в закрытом грунте уже в начальный период плодоношения. Помидоры овальной формы (стабильный размер и форма сохраняется во все периоды развития), насыщенного красного цвета с красивым глянцем, отличного вкуса, плотные, массой 80-100 г, исключительно долго хранятся. Гибрид высокоустойчив к фузариозу, вертициллезу, бактериальному увяданию, вирусам скручивания листьев и табачной мозаики.</t>
  </si>
  <si>
    <t>4680235065508</t>
  </si>
  <si>
    <t>Томат Дебютный 15 шт. (СР) 580634138</t>
  </si>
  <si>
    <t>Гибрид с очень стойким характером. Ни при каких обстоятельствах не подведет. Дебютирует сразу вслед за ранними сортами (95-105 дней). Одинаково хорошо чувствует себя как в теплице, так и в открытом грунте. Не нуждается в пасынковании. Не реагирует на перепады температур. Устойчив к фитофторозу и другим заболеваниям. При консервировании сохраняет целостность кожуры.</t>
  </si>
  <si>
    <t>4610008126327</t>
  </si>
  <si>
    <t>Томат Декабрист 10 шт. (СР) 207685964</t>
  </si>
  <si>
    <t>Детерминантный (90-100 см) гибрид. От всходов до плодоношения 110-120 дней. Зрелые томаты красивого розово-жемчужного цвета, массой до 300 г. Урожайность 2,5-3 кг/м2. Стабильный урожай при различных погодных условиях.</t>
  </si>
  <si>
    <t>4680235000387</t>
  </si>
  <si>
    <t>Томат Дюшес 15 шт. (СР) 317627518</t>
  </si>
  <si>
    <t>Плоды алые, массой до 90г, очень красивые, выравненные, гладкие, слегка удлиненной грушевидной формы, с тонкой кожицей и восхитительно вкусной мякотью. Пригоден для всех видов использования. По срокам созревания среднеранний (110-115 дней), отдача урожая дружная. Можно не пасынковать.</t>
  </si>
  <si>
    <t>4610008126204</t>
  </si>
  <si>
    <t>Томат Елена 15 шт. (СР) 677556886</t>
  </si>
  <si>
    <t>Это помидор всепогодный. Пусть лето будет холодное и дождливое, пусть все летние солнечные деньки по пальцам можно пересчитать, а глянешь на куст «Елены», и сердце радуется: краснеет на корню множество симпатичных помидоров. И холод «Елене» нипочём. Этот гибрид отдаёт весь урожай очень дружно. С куста можно разом собрать до половины ведра отличных плодов. Пасынкование не требуется; схема посадки 60х50 см.</t>
  </si>
  <si>
    <t>4610008126426</t>
  </si>
  <si>
    <t>Томат Енисей 12 шт. (СР) 580637464</t>
  </si>
  <si>
    <t>Самое правильное определение этому гибриду — надёжный. Отличный гармоничный вкус крупных, до 500 г весом, помидоров никого не оставит равнодушным. Но самое главное — это высокая урожайность. Стройный красивый куст весь унизан увесистыми кистями великолепных плодов. Такой гибрид нужен на каждом садовом участке.</t>
  </si>
  <si>
    <t>4680235042042</t>
  </si>
  <si>
    <t>Томат Жимолостный 10 шт. (СР) 280809824</t>
  </si>
  <si>
    <t>Растение индетерминантное (80-100 см), выносливое, стойкое ко всем заболеваниям. От всходов до плодоношения 100-105 дней. Плоды красные, крупные, мясистые, сладкие, массой до 300 г. Урожайность 4,5-5 кг/м2.</t>
  </si>
  <si>
    <t>4680235009892</t>
  </si>
  <si>
    <t>Томат Жонглёр 15 шт. (СР)  186563263</t>
  </si>
  <si>
    <t>Детерминантный гибрид (до 50 см). Суперурожайный и супервкусный. Ярко-красные, сочные и мясистые помидорчики весом 90-125 г (под плёнкой - до 150 г) исключительно хороши в свежих соках и салатах, пригодны для солений и консервирования. Урожайность 5,6-7,8 кг/м2.</t>
  </si>
  <si>
    <t>4610008126334</t>
  </si>
  <si>
    <t>Томат Зазимок 15 шт. (СР) 203615955</t>
  </si>
  <si>
    <t>У «Зазимка» плоды очень вкусные, весом свыше 200 г, урожайность отличная. Куст высотой 90-100 см. От всходов до плодоношения 101-110 дней. Урожайность 11-14 кг/м2.</t>
  </si>
  <si>
    <t>4680235051143</t>
  </si>
  <si>
    <t>Томат Звездопад в августе 5 шт. (СР)</t>
  </si>
  <si>
    <t>Настоящий калейдоскоп оттенков цвета и вкуса! Невозможно пройти мимо куста и не сорвать это произведение искусства, переливающееся всеми оттенками фиолетового, оливкового, синего и красного. Плоды, массой 55-75 г - удлиненные крупные сливки обладают насыщенным ароматом и сложным вкусом. Они безумно сладкие, с выраженными нотками ягод винограда и тропических фруктовых. Сорт среднеспелый (110-115 дней). Куст тонкий, но крепкий, индетерминантный (до 2,5 м), рекомендуем выращивать в теплице в 3-4 стебля, в этом случае урожайность вас впечатлит. Требует пасынкования побегов и надежной опоры. Плодоносит до самых заморозков.</t>
  </si>
  <si>
    <t>4680235039523</t>
  </si>
  <si>
    <t>Томат Земба 5 шт. (СР) 207671886</t>
  </si>
  <si>
    <t>Индетерминантный (180 см), раннеспелый (90-100 дней), урожайный, коктейльный сорт. Практически не болеет, не боится заморозков, рано вступает в плодоношение. Обладает сильным "помидорным" ароматом. Плоды округлые, темно-фиолетовые (почти черные), мясистые, сладкие, массой 80-90 г. Требует подвязки и пасынкования.</t>
  </si>
  <si>
    <t>4610008126228</t>
  </si>
  <si>
    <t>Томат Зефир 15 шт. (СР) 280887580</t>
  </si>
  <si>
    <t>Созревают одновременно с ранними помидорами в теплице. Зрелище это странное, необычное. Первые спелые красные плоды расположены на самом верху куста, над листьями, сияют и видны за километр. Очарованные этой волшебной картиной гости Вашего сада надолго замолкают, а потом весь вечер пытаются выяснить, «откуда?» и «чем поливаешь?». Да ничем особым не поливаем. Гибрид такой — вот и весь секрет. Кусты невысокие, компактные. У «Зефира» плоды овальные, вкусные. У «Героя ранних» плоды округло-яйцевидной формы с хорошо выраженным носиком, также отменного вкуса.</t>
  </si>
  <si>
    <t>4680235026554</t>
  </si>
  <si>
    <t>Томат Златава 10 шт. (СР) 317646525</t>
  </si>
  <si>
    <t>Гибрид очень оригинальной окраски – жёлто-оранжевый снаружи и при этом красновато-грейпфрутовый внутри. Плоды сочные, вкусные, весом до 100 г. Кроме красоты, у этого томата имеется масса достоинств: он устойчив к основным болезням, подходит для выращивания в теплице или открытом грунте, хорошо завязывает плоды при любой погоде, и поэтому урожайный. Мало того, легко переносит транспортировку, хорош для употребления в свежем виде и не трескается при консервировании. Сорт среднеспелый, индетерминантный. Куст высотой до 1,5 м, наибольшая урожайность достигается при формировании в 2-3 стебля, подвязке и пасынковании.</t>
  </si>
  <si>
    <t>4680235042127</t>
  </si>
  <si>
    <t>Томат Калабрези 5 шт. (СР)</t>
  </si>
  <si>
    <t>Сорт, который ценится за свои отличные вкусовые качества. Помидоры упитанные, плотные, мякоть сочная, нежная, сладкая, массой 250-300 г. Плоды с легкой ребристостью, несколько вытянутые, по мере созревания приобретают насыщенно-красный оттенок. Растение индетерминантное (150-180 см), энергичное. Помидоры долго лежат и сохраняют товарный вид. Урожайность 4,5-5 кг/м2.</t>
  </si>
  <si>
    <t>4680235009908</t>
  </si>
  <si>
    <t>Томат Катрина 15 шт. (СР) 681951849</t>
  </si>
  <si>
    <t>Потрясающе суперобильное чудо. Плоды крупные (140—150 г), отборные, безукоризненно красивые, на крепких и прочных стеблях «стоят стеной», которая никого не оставляет равнодушным.</t>
  </si>
  <si>
    <t>4680235020132</t>
  </si>
  <si>
    <t>Томат Катя 5 шт. (СР)</t>
  </si>
  <si>
    <t>На редкость гармоничный, очень ранний гибрид (первый урожай уже через 75-80 дней после всходов), ласкающий ухо нежным девичьим именем, радующий глаз очаровательными, без изъяна, ярко-красными плотными отборными плодами, массой 110-130 г, ублажающим душу изумительным сбалансированным вкусом. Урожайность 8-10,5 кг/м2.</t>
  </si>
  <si>
    <t>4680235054298</t>
  </si>
  <si>
    <t>Томат Князь Гвидон 10 шт. (СР) 317653615</t>
  </si>
  <si>
    <t>В ярко-розовом кафтане, сильный и красивый помидорный князь. Уж точно один из самых вкусных розовоплодных гибридов. Плоды очень нарядные, розовые, мясистые и сочные, с мелкозернистой, нежной мякотью и весомой приятной тяжестью, массой 400-500 г. Вкус необыкновенно приятный, насыщенный томатный. Куст мощный, хорошо облиственный, даёт богатые урожаи. Гибрид среднеранний (100-105 дней), детерминантный (90-100 см). Высокая устойчивость к заболеваниям.</t>
  </si>
  <si>
    <t>4610008126457</t>
  </si>
  <si>
    <t>Томат Князь серебряный 12 шт. (СР)</t>
  </si>
  <si>
    <t>4680235054397</t>
  </si>
  <si>
    <t>Томат Кожемяка 5 шт. (СР) 681980295</t>
  </si>
  <si>
    <t>4680235054403</t>
  </si>
  <si>
    <t>Томат Коловрат 5 шт. (СР) 253802759</t>
  </si>
  <si>
    <t>Очень высокопродуктивный сорт. Плоды вытянутой формы с ярко-выраженным "носиком", красного цвета с золотистыми штрихами, массой 180-200 г. Вкусовые качества достойны восхищения. Мякоть мясистая, сахаристая. Кожица прочная. Сорт среднеспелый (110-115 дней) детерминантный (120 см). Образует до 10 гроздьев на кусте. Лежкий. Стойкий к неблагоприятным факторам и болезням.</t>
  </si>
  <si>
    <t>4680235076634</t>
  </si>
  <si>
    <t>Томат Коляда F1 15 шт. (СР) 622437657</t>
  </si>
  <si>
    <t>Универсальный полудетерминантный (120-130 см) помидор со слабым пасынкообразованием. Плоды ярко-красные, плотные, прекрасно сохраняют и форму, и отличный вкус до 3-хтрех месяцев при комнатной температуре, массой 130-160 г. Гибрид среднеранний (110-120 дней), легок в выращивании. Устойчив к вирусу табачной мозаики, бурой пятнистости, фузариозу, галловым нематодам. Толерантен к фитофторозу.</t>
  </si>
  <si>
    <t>4680235037420</t>
  </si>
  <si>
    <t>Томат Корнабель 3 шт. (СР)</t>
  </si>
  <si>
    <t>Гибрид индетерминантный (1,5-2 м), имеет мощную корневую систему, что обеспечивает повышенную устойчивость к недостатку влаги. Невероятно стоек к резким перепадам температуры и основным болезням и вредителям, в частности, к мозаике томатов, фузариозному и вертициллезному увяданию. Завяжет до 50 плодов даже при неблагоприятных условиях. Вкус великолепный! Аромат чудесный! Семена практически отсутствуют - одна тающая во рту сочная мякоть. Не надо ни сметаны, ни масла - съедается очень быстро просто так, потому что ну очень вкусный! Для теплиц и открытого грунта. Урожайность 6-8 кг/м2.</t>
  </si>
  <si>
    <t>4610008126464</t>
  </si>
  <si>
    <t>Томат Королевский пингвин 12 шт. (СР) 255206253</t>
  </si>
  <si>
    <t>Среди крупноплодных помидоров крайне редко встречаются плоды вытянутой в высоту формы. Обычно вытянутая форма наблюдается у мелкоплодных сортов. А здесь… Тяжёлыми связками висят на кусте внушительных размеров «стаканы» массой до 450—500 г. И для них характерна не только чрезвычайно красивая, запоминающаяся форма, но и отменный вкус. Массивные высокие плоды режут на салаты (такую красоту и резать-то жалко!) и солят целиком. Вкус солёных помидоров просто великолепен.</t>
  </si>
  <si>
    <t>4680235046989</t>
  </si>
  <si>
    <t>Томат Костер Артека 5 шт. (СР) 253809088</t>
  </si>
  <si>
    <t>Крупные удлиненные "ракетки" с носиком, до 15 см длиной, с оранжевым помидорным "мясом" внутри, массой 150-300 г. Семян в плодах мало, на разрезе зернистые. Сорт индетерминантный (180 см), высокорослый, имеет очень длительный период плодоношения. От всходов до плодоношения 120 дней. Универсальный в использовании. Урожайность - свыше 3,5 кг с куста.</t>
  </si>
  <si>
    <t>4680235054410</t>
  </si>
  <si>
    <t>Томат Котофей 5 шт. (СР) 682074721</t>
  </si>
  <si>
    <t>Потрясающие вкусовые качества плодов. Помидоры сердцевидной формы насыщенного красно-розового цвета, нежные, мясистые и сладкие, массой 100-110 г. Сорт высокоурожайный, среднего срока созревания (110-115 дней), полудетерминантного (160-180 см) типа роста. Формируем в 3-4 стебля.</t>
  </si>
  <si>
    <t>4610008126471</t>
  </si>
  <si>
    <t>Томат Красный буйвол 12 шт. (СР) 682089085</t>
  </si>
  <si>
    <t>В его облике есть какая-то дикая, первобытная мощь и сила. И упрямство у него поистине буйволиное. Всё лето — беспрерывные дожди, хмурое низкое небо, слякотные холодные ночи… А он как ни в чём не бывало пришёл к финишу сезона под завязку нагруженный очень крупными, килограммовыми плодами, красивыми и сочными. Один из самых надёжных, стабильных и урожайных гибридов.</t>
  </si>
  <si>
    <t>4680235054656</t>
  </si>
  <si>
    <t>Томат Лукум 5 шт. (СР)</t>
  </si>
  <si>
    <t>Сорт раннеспелый (85-90 дней), индетерминантный (160-180 см), высокопластичный, обладает мощным иммунитетом. Плоды потрясающе нарядные: ребристые крупные сливки кирпичного цвета с носиком и размытой темно-зеленой звездой у основания, массой 45-60 г. Полностью вызревший плод окрашивается в изумительные пурпурные тона. Ярко-выраженный отменный помидорный вкус и сладость. Урожайность 15-20 кг/м2.</t>
  </si>
  <si>
    <t>4680235054311</t>
  </si>
  <si>
    <t>Томат Любания 10 шт. (СР) 207676730</t>
  </si>
  <si>
    <t>Селекция пленительной Любании была нацелена на богатый вкус, раннеспелость, привлекательный «носик» и упрощенное выращивание без пасынкования. Плоды, массой 150-200 г, красивого красного цвета, красивые на разрезе, один в один, средней плотности, не растрескиваются. Созревают дружно и рано, избегая фитофтороза при ранних ночных похолоданиях. Мякоть на разломе арбузная, сахарная, нежной и сочной консистенции, тающая, отменного вкуса. Гибрид ранний (85-90 дней), детерминантный (60-80 см). Растение малооблиственное. Можно не пасынковать.</t>
  </si>
  <si>
    <t>4680235052591</t>
  </si>
  <si>
    <t>Томат Любаша 5 шт. (СР) 581581848</t>
  </si>
  <si>
    <t>Низкорослый крепкий кустик сплошь облеплен плодами, массой 120-140 г. Кожица плодов даже при созревании в холодную и влажную погоду, не трескается и не повреждается. Гибрид ультраранний детерминантный. Первое соцветие закладывается над 5-6 листом. Дружное плодоношение и отличный урожай в любом регионе при любых условиях выращивания. Устойчив к растрескиванию и вершинной гнили плодов, толерантен к вирусу тобачной мозаики, альтернариозу и фитофторозу. Формируем в 3-4 стебля.</t>
  </si>
  <si>
    <t>4680235022273</t>
  </si>
  <si>
    <t>Томат Малиновое чудо комплект 2 серии  5*8 шт. (СР)</t>
  </si>
  <si>
    <t>В комплект входят 5 пакетов по 8 штук семян в каждом пакете:
1. гибрид «малиновая радость» - куст высотой 70-90 см. Вес плодов колеблется от 200 до 250 г.
2. гибрид «малиновый бизон» - куст высотой 70-100 см. Вес плодов колеблется от 300 до 500 г.
3. гибрид «малиновая мечта» - куст высотой 70-100 см. Вес плодов от 500 до 700 г.
4. гибрид «малиновый желанный» - куст высотой 70-100 см. Плоды массой 500-600 г.
5. гибрид «малиновый король» - куст высотой 80-100 см. Плоды весом 300-400 г.</t>
  </si>
  <si>
    <t>4680235022280</t>
  </si>
  <si>
    <t>Томат Малиновое чудо комплект 3 серии  5*8 шт. (СР)</t>
  </si>
  <si>
    <t>В комплект входят 5 пакетов по 8 штук семян в каждом пакете:
1. гибрид «малиновый сюрприз» - кусты высотой 80-90 см. Плоды плоскоокруглые, плотные, однородные, одинакового размера, весом 300-500 г.
2. гибрид «малиновое эскимо» - куст высотой 70-90 см. Помидоры весом 300-500 г порадуют вас нежной и сочной мякотью.
3. гибрид «малиновый богатырь» - куст высотой 80-100 см. Плоды плоскоокруглые, мясистые, ярко-малиновые, весом 600-800 г.
4. гибрид «малиновый зайка» - куст высотой 80-100 см. Плоды весом 400-600 г, отличного качества, насыщенного, со сладостью, вкуса.
5. гибрид «малиновое сердце» - кусты сравнительно небольшие, высотой 60-80 см. Плоды сердцевидные, весом 200-300 г, нежные, сочные, с сахаристой мякотью и необыкновенно приятным, тонким ароматом.</t>
  </si>
  <si>
    <t>4680235051297</t>
  </si>
  <si>
    <t>Томат Малиновое чудо комплект 4 серии  5*8 шт. (СР)</t>
  </si>
  <si>
    <t>В комплект входят 5 пакетов по 8 штук семян в каждом пакете:
1. гибрид «малиновые сливки» - гибрид урожайный, устойчивый к заболеваниям. Вес плодов 200-250 г.
2. гибрид «малиновый медок» - гибрид гарантирует высочайшие урожаи, отдает их дружно. Вес плодов 300-450 г.
3. гибрид «малиновая радуга» -  куст мощный, открытый. Вес плодов от 300 до 500 г.
 4. гибрид «малиновый сорбет» - плоды гибрида не мельчают без регулярного полива, стабильно сохраняют размер, форму и вкусовые качества. Вес 350-550 г.
5. гибрид «малиновый плут» - помидоры розовые, округлые, плотные. Отдает весь урожай очень дружно. Растения мощные, нуждаются в подвязке. Вес 300-450 г.</t>
  </si>
  <si>
    <t>4680235076641</t>
  </si>
  <si>
    <t>Томат Малиновый румяный 8 шт. (СР) 581609403</t>
  </si>
  <si>
    <t>Необычайно щедрый и пластичный ярко-малиновый сорт. Помидоры отборные, крупные, великолепного сбалансированного вкуса, массой 500-700 г. Кусты сильные, открытые. Сорт ранний (90-100 дней), индетерминантный (70-100 см). Хорошо завязывает плоды при низких температурах.</t>
  </si>
  <si>
    <t>4680235054427</t>
  </si>
  <si>
    <t>Томат Мамин любимый 5 шт. (СР)</t>
  </si>
  <si>
    <t>Необыкновенно вкусный помидор с мясистой арбузной мякотью. Урожай грандиозный (до 15 кг/м2)! Плоды, массой 200-250 г, очень хорошо хранятся, сберегая свои вкусовые качества, практически до ноября. В года, когда помидоры массово поражаются болезнями, он болеть не будет. Сорт детерминантный (150 см), среднего срока созревания (100-110 дней).</t>
  </si>
  <si>
    <t>4610008126235</t>
  </si>
  <si>
    <t>Томат Манжерок 15 шт. (СР) 253839366</t>
  </si>
  <si>
    <t>Для открытого грунта. Куст невысокий (55-60 см), штамбовый, не полегает, не требует пасынкования. От всходов до созревания 97-98 дней. Плоды сливовидные, массой 82-86 г. Созревание плодов начинается в последней декаде июля, они хорошо дозревают, лёжкость хорошая. Урожайность 3-4 кг/м2.</t>
  </si>
  <si>
    <t>4680235065515</t>
  </si>
  <si>
    <t>Томат Медалист 15 шт. (СР) 356848216</t>
  </si>
  <si>
    <t>Не любит проигрывать, всегда на пьедестале почета! Перехватывает эстафету созревания у ранних сортов (100-105 дней) и сразу «стартует». Плоды плоскоокруглые, массой 200-250 г, дружно наливаются и становятся ярко-красными, сладкими, с сочной мякотью и содержанием сахара 4,7%. Куст детерминантный (65-75 см), но из-за обильности урожая требует подвязки.</t>
  </si>
  <si>
    <t>4680235059149</t>
  </si>
  <si>
    <t>Томат Мерхаба 5 шт. (СР)</t>
  </si>
  <si>
    <t>Красивый, экстраурожайный (до 18 кг/м2) ранний (95-100 дней) индетерминантный (180-200 см) гибрид. Одновременно в кисти созревает до 15 пурпурно-красных овальных помидорок с небольшим зеленым пятном у плодоножки, массой 50-70 г, что говорит о повышенном содержании сахаров. Мякоть на разрезе темно-вишневого цвета. Вкус великолепный. Гибрид лежкий, жаростойкий и стрессоустойчивый. Устойчив к вирусу томатной мозаики, относительно устойчив к фузариозу и вертициллезу.</t>
  </si>
  <si>
    <t>4680235054434</t>
  </si>
  <si>
    <t>Томат Микула 10 шт. (СР) 317655937</t>
  </si>
  <si>
    <t>Легендарный богатырь из русских былин возродился в великолепном среднеспелом сорте с шедевральными крупными сахарными помидорами. Вкусовые качества очень высокие. Плоды слаборебристые, плоскоокруглые, интенсивно-красные, малосемянные, с сахаристой мякотью и великолепным ароматом, массой 250-300 г. Сорт среднеранний (100-105 дней), полудетерминантный (150-170 см), высокопродуктивный. Растение слабооблиственное. Пасынкование в один стебель обязательно.</t>
  </si>
  <si>
    <t>4680235014582</t>
  </si>
  <si>
    <t>Томат Мисс Мира 10 шт. (СР) 317659610</t>
  </si>
  <si>
    <t>очень красивый внешний вид  
    растение высотой до 180 см, слабооблиственное
    пасынковать обязательно в один стебель
    верхушку обрезать, оставив над кистью 2 листа
    раннее созревание (95-105 дн.)
    кисть сложная, плоды массой 250 г, плоскоокруглые
    цвет зрелого плода красный
    мясистый
    вкусный:сбалансированное сочетание сахаров и кислот.
    высокая урожайность до 15 кг/м2 (3 раст./м2)
    для употребления в свежем виде и для всех видов переработки</t>
  </si>
  <si>
    <t>4680235000400</t>
  </si>
  <si>
    <t>Томат Моя любовь 15 шт. (СР) 317660399</t>
  </si>
  <si>
    <t>Гибрид поражает своей гармоничностью. В нём удачно сочетаются раннеспелость (90 дней), высокая продуктивность, отличная товарность и изумительный вкус плодов. Помидоры идеальной округлой формы, с кокетливым носиком, массой 150-220 г. Мякоть на разломе арбузная, сахарная, тающая. При соблюдении агротехники урожай с одного куста не менее 5 кг. Можно не пасынковать.</t>
  </si>
  <si>
    <t>4680235052614</t>
  </si>
  <si>
    <t>Томат Нью оранж 10 шт. (СР) 682144570</t>
  </si>
  <si>
    <t>Вот как пахнет лето! И вот как оно выглядит! Настоящее воплощение безупречности вкуса и внешних данных. Залюбуешься и не устанешь фотографировать, а затем уйдешь в помидорный «запой» ))))))) Помидоры насыщенно-оранжевые, округлые с завлекалочкой в виде носика, плотные, без зелёного пятна у плодоножки, совершенного вкуса, массой 120-130 г. Гибрид ранний (90-95 дней), детерминантный (90-100 см). Растения мощные, хорошо облиственные, компактные. Первое соцветие закладывается после 6-7 листа. В кисти формируется 5-6 плодов. Отличается высокой дружностью плодообразования и созревания. Жаростойкий, засухоустойчивый. Устойчив к вирусу томатной мозаики, вертициллёзу, фузариозу, кладоспориозу, бактериозу и галловым нематодам.</t>
  </si>
  <si>
    <t>4680235000424</t>
  </si>
  <si>
    <t>Томат Озеро Надежды 15 шт. (СР)</t>
  </si>
  <si>
    <t>Великолепный ранний сорт (90-100 дней), невероятно щедрый, надёжный, стабильный. Плоды большие, плоскоокруглые, выровненные, как на подбор, яркой, насыщенно-алой окраски снаружи и малиново-красной плотной, очень вкусной мякотью, массой до 300 г. Растение мощное, легко пасынкуется в один стебель, высотой 75-100 см. Урожайность 13-14 кг/м2.</t>
  </si>
  <si>
    <t>4680235054335</t>
  </si>
  <si>
    <t>Томат ОКС Десерт 5 шт. (СР) 317895113</t>
  </si>
  <si>
    <t>Любовь с первого взгляда. Лакомое ярко-розовое сердце. Мякоть мясистая. Вкус умопомрачительный, насыщенный, десертный. Как на юге, так и в средней полосе России – это стабильные 10 баллов из 10 возможных! Загруженность плодами, массой 300-350 г, колоссальная. Гибрид ранний (85-95 дней), индетерминантный (200-250 см), толерантный к растрескиванию и вершинной гнили. Генетически устойчив к вертициллезу и фузариозу. Рекомендуем выращивание в 2 стебля.</t>
  </si>
  <si>
    <t>4680235051136</t>
  </si>
  <si>
    <t>Томат Оле-Лукойе 5 шт. (СР) 207673936</t>
  </si>
  <si>
    <t>Настоящий каскад суперурожайных кистей с многочисленными красивыми плодами, массой 37-45 г. Форма яйцевидная с носиком, ярко-красного цвета с желтыми тигровыми полосками, на разрезе красно-розовые, мясистые, не смотря на свой небольшой размер. Очень высокие вкусовые качества и декоративные свойства плодов. Мякоть ароматная и необыкновенно сладкая. Сорт раннеспелый (100-105 дней) полудетерминантный (80-130 см) с мелким листом. Нуждается в умеренном пасынковании. Формируем в 2-3 стебля. Плодоносит стабильно до поздней осени. Урожайность 8-10 кг/м2.</t>
  </si>
  <si>
    <t>4610008126532</t>
  </si>
  <si>
    <t>Томат Оранжевый бочонок 12 шт. (СР) 682158991</t>
  </si>
  <si>
    <t>Достойный соперник любимого всеми ретро-богатыря «Бычье сердце». Плоды-тяжеловесы, упитанные толстячки-бочата цвета червонного золота, средней массой от 300—350 г и более, мякоть сочная, нежная, великолепного сладкого вкуса. Созревает в средние сроки (111—115 дней после всходов), по обилию плодоношения превосходит сорт «Бычье сердце».</t>
  </si>
  <si>
    <t>4680235065492</t>
  </si>
  <si>
    <t>Томат Особинка 12 шт. (СР) 682170448</t>
  </si>
  <si>
    <t>4610008126563</t>
  </si>
  <si>
    <t>Томат Персик 12 шт. (СР) 682180185</t>
  </si>
  <si>
    <t>Название, говорящее само за себя. Этот гибрид и действительно сильно напоминает свежие, только что снятые с ветки персики, только раз в пять крупнее. Плоды у Персика идеально правильной, округлой формы, яркого оранжево-персикового цвета. Очень красивый гибрид. Но, как говорится, встречают по одёжке, а провожают… И тут мы не сомневаемся, что провожать Персик Вам совсем не захочется, ведь каждый из них достигает веса 500—600 г, ровные, красивые кисти помидоров обильно свисают с мощных ветвей. А по вкусу он напоминает персик, дыню и помидор одновременно. Вам не будет стыдно пригласить гостей к столу, на котором красуется такое чудо. А уж показывая гостю теплицу, Вам трудно будет удержаться и не направить ненароком взгляд собеседника на Ваше новое приобретение. Зрелище, достойное кисти художника. Формируем в два стебля, пасынкуем как обычно.</t>
  </si>
  <si>
    <t>4680235045333</t>
  </si>
  <si>
    <t>Томат Пинк Гарант 3 шт. (СР) 253811996</t>
  </si>
  <si>
    <t>Способен завязывать плоды в экстремальных условиях высоких и низких температур, засухи и избытка влаги. На нем практически нет такого явления, как осыпание бутонов и завязей. За счет этого  при любых капризах погоды и даже недостаточно хорошем уходе ГАРАНТИРУЕТ высочайшие урожаи плодов великолепного качества, массой 180-200 г. Гибрид индетерминантного типа (180-200 см). Имеет укороченные междоузлия, что позволяет максимально эффективно использовать на себе объемы невысоких теплиц и парников. Плоды крупные, правильной шаровидной формы, яркой малиновой окраски. Вкусные, и ароматные. Очень хорошо хранятся в созревшем состоянии - до 2,5 месяцев. Урожайность до 5-6 кг с куста. Гибрид устойчив к вирусу томатной мозаики, фузариозу, вертициллезу, серой пятнистости листьев.</t>
  </si>
  <si>
    <t>4680235059163</t>
  </si>
  <si>
    <t>Томат Пинк Плам 5 шт. (СР) 280250570</t>
  </si>
  <si>
    <t>Ну очень крупные сливовидные помидоры, пухлые, аппетитные, равномерного розового цвета без пятен, массой 140-180 г. Умеренно-плотные, на разрезе маслянистые. Нежная розовая мякоть тает во рту. Вкус превосходный. Хорошая завязываемость плодов. Куст полудетерминантный (150-180 см), значит, его можно формировать в 2–3 стебля, тем самым значительно повышая урожайность. Генетически устойчив к фузариозу и вертициллезу.</t>
  </si>
  <si>
    <t>4680235065270</t>
  </si>
  <si>
    <t>Томат Пинк Спарк 5 шт. (СР) 317978301</t>
  </si>
  <si>
    <t>Специально для садоводов-визуалов, кому важен не только вкус, но и зрительное наслаждение. Полудетерминантный (150-170 см) среднеспелый (105-115 дней) гибрид с массой достоинств. Плоды округлые, красивые, интенсивно-розовые и блестящие, все одного калибра, с сочной ароматной мякотью, массой 180-200 г. Формировка не требуется, а только своевременная подвязка. Подходит для низких теплиц.</t>
  </si>
  <si>
    <t>4680235037437</t>
  </si>
  <si>
    <t>Томат Пинк Трит 3 шт. (СР) 253809870</t>
  </si>
  <si>
    <t>Один из особенно вкусных розовоплодных гибридов нового поколения. Очень короткие междоузлия, ранняя закладка первой кисти и исключительно высокая урожайность. На каждой кисти сразу по 5-6 штук очаровательных, равномерно розовых мясистых округлых плодов, массой 180-250 г. Быстро растут и набирают вес, хорошо хранятся и транспортируются. Мякоть очень сладкая и нежная. Растения высокие и мощные, нуждаются в подвязке. Гибрид индетерминантный (до 1,5 м), высоко устойчивый к большинству болезней.</t>
  </si>
  <si>
    <t>4680235045296</t>
  </si>
  <si>
    <t>Томат Пинк Хайп 5 шт. (СР) 253824856</t>
  </si>
  <si>
    <t>Раннеспелый (100-105 дней) индетерминантный (2,5 м) розовоплодный гибрид невиданной красоты и потрясающего вкуса. Растение с густым опушением, слабооблиственное. В кисти 4-6 плодов округло-сердцевидной формы с заостренным кончиком, равномерной насыщенно розовой окраски, гладкие, плотные, массой 140-160 г. Отличается хорошей завязываемостью, повышенной устойчивостью к высоким температурам и засухе. Густое опушение стебля и листьев препятствует появлению вредителей (белокрылка, цикадка, трипс). Устойчив к вирусу томатной мозаики, кладоспориозу, бактериозу и фузариозу. Формировка в один стебель.</t>
  </si>
  <si>
    <t>4680235059170</t>
  </si>
  <si>
    <t>Томат Пинк Хорн 5 шт. (СР) 280243712</t>
  </si>
  <si>
    <t>Шикарные грозди спелых розовых перцевидных помидоров типа Корнабель потрясающего десертного вкуса, массой 140-180 г. Гибрид ранний (59-63 дня), поспевает одним из первых. Полудетерминантный (150-180 см), а это значит, что его можно формировать в 2–3 стебля, тем самым колоссально повышая урожайность. Куст энергичный с короткими междоузлиями. Активно завязывает плоды. Урожайность очень высокая. Генетически устойчив к вертициллезному увяданию и высокоустойчив к другим заболеваниям.</t>
  </si>
  <si>
    <t>4680235051211</t>
  </si>
  <si>
    <t>Томат Пинквин 3 шт. (СР)  280460367</t>
  </si>
  <si>
    <t>Потрясающий крупноплодный гибрид с калиброванными блестящими плоско-округлыми помидорами интенсивного розового цвета и вкуснейшей арбузной мякотью, массой 260-320 г. На кусту формируется до 14! кистей одномерных томатов. Путем нормировки количества можно варьировать размер от среднего до сверхкрупоплодного (максимальный вес достигает 900 г!). Растение полудетерминантное (150-180 см), открытое, с короткими междоузлиями и сильной корневой системой. Дружная отдача урожая. Гибрид раннеспелый (100-105 дней), лежкий, устойчив к вершинной гнили. Формируем в один стебель.</t>
  </si>
  <si>
    <t>Томат Пиноккио 5 шт. (СР)</t>
  </si>
  <si>
    <t>4680235054458</t>
  </si>
  <si>
    <t>Томат Пировальный 10 шт. (СР) 682185579</t>
  </si>
  <si>
    <t>Чтобы струился разговор и слагался звучный стих категорически необходимо угостить гостей лучшим засолочным сортом помидора. Плоды ярко-алые, удлинённо-овальные, гладкие, плотные, мясистые, ароматные, не растрескиваются, зрелые хорошо сохраняются на кустах. Без полива мельчают, но приобретают еще большую сладость. Содержат большое количество пектиновых веществ, а значит идеальны для цельноплодного консервирования и засолки, изготовления кетчупов и томатной пасты. Сорт среднеранний (110-115 дней), детерминантный (50-60 см). Отличается экологической пластичностью. Не пасынковать.</t>
  </si>
  <si>
    <t>4680235037529</t>
  </si>
  <si>
    <t>Томат Позано 3 шт. (СР)</t>
  </si>
  <si>
    <t>Для теплиц, пленочный укрытий и открытого грунта. Поспевает за 120 дней. Плоды перцевидные, выровненные, красные, массой 135-145 г. С одного растения в теплице при хорошем уходе можно получить до 12 кг плодов. Вкус очень насыщенный, «томатный». Идеально подходит для консервирования и свежих салатов.</t>
  </si>
  <si>
    <t>4610008126310</t>
  </si>
  <si>
    <t>Томат Праздничный 15 шт. (СР) 254430122</t>
  </si>
  <si>
    <t>Детерминантный (50-100 см) среднеспелый (100-110 дней) сорт-универсал, прекрасно чувствует себя в теплице, но и в открытом грунте без труда переносит экстремальные условия капризной погоды. Плоды гладкие, выровненные, приятного вкуса, массой 75-120 г. Урожайность 1,8-3,2 кг/м2.</t>
  </si>
  <si>
    <t>4610008126709</t>
  </si>
  <si>
    <t>Томат Презент 15 шт. (СР)</t>
  </si>
  <si>
    <t>Настоящий подарок. Плоды идеально выровненные (120—150 г), очень привлекательные, плотные, мясистые, отменного, исключительно сбалансированного вкуса.</t>
  </si>
  <si>
    <t>4680235065461</t>
  </si>
  <si>
    <t>Томат Причуда 10 шт. (СР)</t>
  </si>
  <si>
    <t>Причудливые увесистые бочонки, массой 300-370 г, дружно краснеют на крепких многоплодных кистях. Вкуснейшая мясистая мякоть никого не оставляет равнодушным. А какой помидорный аромат! При средних сроках созревания (100-105 дней) уже можно подумать и о заготовках. Сорт идеален для приготовления лечо, аджики и томатного сока. Куст индетерминантный (100-115 см), устойчивый к основным болезням.</t>
  </si>
  <si>
    <t>4610008126242</t>
  </si>
  <si>
    <t>Томат Прохор 15 шт. (СР) 682190511</t>
  </si>
  <si>
    <t>Климат в последнее время меняется довольно сильно. Перепады температур такие резкие, что старым классическим сортам помидоров к ним непросто приспособиться. Потому-то у «Елены» и появилось два младших брата — «Аристарх» и «Прохор».
Если лето хорошее, жаркое, то гибриды «Аристарх» и «Прохор» дадут просто хороший урожай. И всё-таки это короли холодного лета. Когда с обычных, традиционных сортов помидоров цветки будут кучами опадать из-за длительного ненастья, «Аристарх» и «Прохор» будут упорно, кисть за кистью, завязывать крупные красивые плоды. Куст у «Прохора» более мощный и раскидистый, чем у «Аристарха», и плоды в незрелом виде не зелёные, а почти белые, очень красивые, по цвету похожи на помидоры сорта «Белый налив», но значительно крупнее.</t>
  </si>
  <si>
    <t>4680235037857</t>
  </si>
  <si>
    <t>Томат Ред Пэар 12 шт. (СР) 499351299</t>
  </si>
  <si>
    <t>Очень урожайный индетерминантный гибрид с необычной грушевидной, слегка ребристой формой плодов. Помидоры крупные, насыщенного красного цвета с плотной, мясистой мякотью сладкого вкуса. Плоды отлично хранятся снятые бланжевыми; не портятся 2-3 месяца даже при комнатной температуре. Растения высокорослые, стойкие к похолоданиям и большинству болезней. Из-за высокой нагрузки плодами подвязка обязательна.</t>
  </si>
  <si>
    <t>4680235042103</t>
  </si>
  <si>
    <t>Томат Риккиуто 5 шт. (СР) 254121844</t>
  </si>
  <si>
    <t>Гибрид индетерминантный (80 см). От всходов до плодоношения 70-80 дней. Плоды ярко-красные, с прекрасным колоритом и глянцевым блеском, массой до 200 г. Выделяются своей необычной формой с характерной подчеркнутой ребристостью. Вкус у томатов превосходный. Урожайность 8 кг/м2.</t>
  </si>
  <si>
    <t>4610008126266</t>
  </si>
  <si>
    <t>Томат Робинзон 15 шт. (СР) 581604624</t>
  </si>
  <si>
    <t>Нужно сеять раньше других. Он очень необычный и интересный. В отличие от всех других сортов листья у него картофельного типа, плоды плоские малиновые до 300 г весом. При раннем посеве и хорошем уходе даёт очень высокий урожай. Из плодов именно этого сорта получают самый лучший томатный сок для лечо из сладкого перца и для помидоров в собственном соку.</t>
  </si>
  <si>
    <t>4680235065478</t>
  </si>
  <si>
    <t>Томат Родительский дом 10 шт. (СР) 280441666</t>
  </si>
  <si>
    <t>Когда спеет этот помидор, массой 300-370 г, ловишь себя на ощущениях радости и беззаботности. Мысленно возвращаешься в детство, когда мама приносила с огорода крупные и мясистые красные помидоры. Мы уплетали их с хлебом, и не было для нас ничего вкуснее. Сорт детерминантный (100-115 см), прошел успешные испытания на Урале. Плодоносит в любую погоду, дает стабильные урожаи и в жаркое, и в холодное лето.</t>
  </si>
  <si>
    <t>4680235042073</t>
  </si>
  <si>
    <t>Томат Розовая Катя 5 шт. (СР)</t>
  </si>
  <si>
    <t>Сверхскороспелый (80-85 дней) детерминатный гибрид томата! Стабильная скороспелость каждый год (даже в холодное лето) поддерживается рекордной холодостойкостью! Чтобы эти два качества были соединены в одном гибриде – таких аналогов в мире пока не существует! Обеспечивает массовый урожай в течение долгого времени. Помидоры розовые округлые, плотные, гладкие, массой 120-130 г. Вкусовые качества высокие. Прекрасно хранятся благодаря прочной кожуре, устойчивы к растрескиванию. Отлично переносят долгую транспортировку. Растение жаростойкое, устойчиво к вирусу томатной мозаики, вертициллезному и фузариозному увяданию, бактериальной пятнистости. Урожайность 10-14 кг/м2.</t>
  </si>
  <si>
    <t>4680235042196</t>
  </si>
  <si>
    <t>Томат Саймон 3 шт. (СР) 280911016</t>
  </si>
  <si>
    <t>Для получения массового ультрараннего (85-95 дней) урожая вам обязательно необходим помидор Саймон. Растение сильное, выносливое, детерминантное (50-100 см). Плоды плоскокруглой формы, крупные, плотные, массой 220-250 г, без ребристости, легко вытягивают «носик», что является характерным признаком южных томатов. Окрас ярко-красный с глянцевым блеском. Налив всех кистей происходит одновременно, что позволяет получить дружную отдачу урожая в короткий срок. Транспортабельность хорошая.</t>
  </si>
  <si>
    <t>4680235069629</t>
  </si>
  <si>
    <t>Томат Самбек F1 5 шт. (СР) 561880340</t>
  </si>
  <si>
    <t>Среднеранний (90-100 дней), продуктивный индетерминантный (180-200 см) гибрид. Отличительными особенностями его являются отменная завязываемость плодов в любых условиях выращивания (растение стабильно вяжет 5-8 красивых «цилиндриков» в кисти), а также высокая устойчивость к вершинной гнили, что не маловажно для сортов и гибридов с удлиненной формой - бывалые огородники это знают. Мякоть плотная, малосемянная. Вкусовые качества по достоинству оценит каждый: знатоки ставят Самбек F1 в один ряд с излюбленными сортами Сан Марцано и Аурия. Гибрид предназначен для употребления в свежем виде, цельноплодного консервирования, приготовления сока, кетчупа и томатной пасты.</t>
  </si>
  <si>
    <t>4610008126112</t>
  </si>
  <si>
    <t>Томат Самородок 15 шт. (СР) 254431704</t>
  </si>
  <si>
    <t>Начинает плодоносить в теплице одним из первых в начале июля и заканчивает последним. Когда теплица стоит уже практически пустая, на «Самородке» всё ещё краснеют плоды. Благодаря частому расположению соцветий — 14—18 штук на стебле — гибриду присуща высокая отдача урожая в первый период плодоношения. Плоды крупные, массой свыше 170 г. Формируем куст в два стебля, пасынкуем, как обычно. За сезон собираем больше ведра помидоров с куста.</t>
  </si>
  <si>
    <t>4680235042165</t>
  </si>
  <si>
    <t>Томат Сарра 5 шт. (СР)</t>
  </si>
  <si>
    <t>Ранний (60 дней) индетерминантный гибрид (до 200 см). Плоды насыщенно-красные, плотные, уникальной ребристой формы, с характерным носиком, массой 300-500 г. Хорошо транспортируется и хранится, устойчив к широкому спектру заболеваний. Урожайность 23 кг/м2.</t>
  </si>
  <si>
    <t>4680235054465</t>
  </si>
  <si>
    <t>Томат Сивка-бурка 5 шт. (СР)</t>
  </si>
  <si>
    <t>Не могут ни привлечь внимание огромные увесистые кисти с маленькими грушевидными арбузиками. Сладкие, нежные, сочные, с пряными нотками. Мякоть лаймового цвета, тает во рту. Шкурка тоненькая. Замечательно смотрится в нарезке. Сорт среднеспелый (110-115 дней) полудетерминантный. Кусты высокорослые (120 см). В одной кисти до 30 помидоров, массой 90-100 г. Высокая урожайность независимо от условий выращивания. Формируем в 3-4 стебля.</t>
  </si>
  <si>
    <t>4610008126129</t>
  </si>
  <si>
    <t>Томат Сильвестр 15 шт. (СР) 581612949</t>
  </si>
  <si>
    <t>Обычно мы рекомендовали «Сильвестр» только в качестве гибрида для консервирования, но в последнее время вынуждены изменить своё мнение. Кроме того, что «Сильвестр» великолепен в банках, он ещё такой же ранний и дружный, как «Афродита», «Надежда» и «Самородок», и по праву должен занять почётное место в четвёрке самых ранних тепличных гибридов.
А по дружности плодоношения ему вообще нет равных. Так что добрая половина урожая «Сильвестра» явно в банки не попадёт, потому что консервировать первые помидоры в начале июля рука не поднимается. Формируют куст «Сильвестра» так же, как «Афродиту» и «Надежду».</t>
  </si>
  <si>
    <t>4680235042134</t>
  </si>
  <si>
    <t>Томат Синьора 5 шт. (СР) 254134468</t>
  </si>
  <si>
    <t>Невероятно «мясистый» гибрид. Крепкие, увесистые помидоры имеют до 8 семенных камер, толстые стенки, а самое главное плотную, упитанную мякоть. Вкус богатый, сахаристый. Плоды сочные, но не водянистые, содержат мало семян. Помидор индетерминантный, раннего срока созревания, подходит для весеннего и осеннего производства. Растение сильное, с короткими междоузлиями, что позволяет сформировать больше кистей на шпалере, а значит и больше плодов. Они устойчивы к растрескиванию, прекрасно хранятся. Гибрид обладает комплексной устойчивостью ко множеству болезней. Помидоры для теплиц, плёночных укрытий и открытого грунта.</t>
  </si>
  <si>
    <t>4680235042233</t>
  </si>
  <si>
    <t>Томат Сладкий янтарь 10 шт. (СР) 216316907</t>
  </si>
  <si>
    <t>Сорт, поражающий свой урожайностью. Можно собрать до 7 кг с одного растения. Куст буквально ломится под тяжестью плодов, поэтому ему требуется хорошая подвязка. Помидоры крупные мясистые сердцевидной формы, массой 350-500 г, окрас двухцветный оранжево-малиновый. Отличаются уникальным дынным сладковатым вкусом, буквально тают во рту. Сорт раннеспелый (95-98 дней), индетерминантный (180-200 см), плодоносит до самых заморозков, а зеленые помидоры снятые осенью прекрасно доходят сами.</t>
  </si>
  <si>
    <t>4680235051181</t>
  </si>
  <si>
    <t>Томат Софа 5 шт. (СР) 580639649</t>
  </si>
  <si>
    <t>Ультраранний (80-85 дней) обсыпной гибрид помидора для самых первых витаминных салатов, идеально подходящий для зон рискованного земледелия. Потенциал урожайности огромный! Кисть закладывается через каждые два листа. В каждой кисти в среднем по 5 помидоров, массой 100-150 г. Плоды 3-4-камерные, мясистые, густо-красного цвета, очень красивые, кожица тонкая, прочная, блестящая. Вкус приятный, сладкий, освежающий, с легкой кислинкой, что нечасто встречается у очень ранних томатов! Растения компактные, среднеоблиственные. Гибрид устойчив к растрескиванию и вершинной гнили плодов. Толерантен к большинству заболеваний томата, в том числе к вирусу томатной мозаики, альтернариозу и фузариозу. Формируем в три стебля.</t>
  </si>
  <si>
    <t>4610008126358</t>
  </si>
  <si>
    <t>Томат Сочельник 15 шт. (СР) 203617831</t>
  </si>
  <si>
    <t>Высокоурожайный (19 кг/м2) и очень пластичный среднеранний (110-120 дней) гибрид. Выдерживает затенение и понижение температуры. Устойчив к комплексу болезней. Очень важно снимать плоды в состоянии бланжевой спелости и с неповрежденной плодоножкой. Куст высотой 90-100 см. Плоды массой 120-130 г.</t>
  </si>
  <si>
    <t>4680235052621</t>
  </si>
  <si>
    <t>Томат Стан 5000 3 шт. (СР) 254425201</t>
  </si>
  <si>
    <t>Гибрид ранний (95-100 дней), детерминантный (70-100 см), холодостойкий, засухоустойчивый. Плоды красные, без зеленого пятна, выровненные, эффектной формы, стремящейся к сердцевидной. Плотные, многокамерные, великолепного вкуса, массой 350-400 г. Не растрескиваются. Для открытого и закрытого грунта. Урожайность 14-18 кг/м2.</t>
  </si>
  <si>
    <t>4680235009915</t>
  </si>
  <si>
    <t>Томат Суперприз 15 шт. (СР) 253818201</t>
  </si>
  <si>
    <t>Детерминантный гибрид (50-70 см). Очень ранний, созревает через 90-95 дней после всходов. Растения мощные, коренастые с крупными (140-150 г) мясистыми плодами. Урожайность 1,5-2,5 кг/м2. Вкусовые качества очень высокие.</t>
  </si>
  <si>
    <t>4610008126273</t>
  </si>
  <si>
    <t>Томат Сын героя 15 шт. (СР) 317989431</t>
  </si>
  <si>
    <t>Ещё совсем недавно мы считали «Героя ранних» одним из самых ранних сортов помидоров. Но селекция не стоит на месте, — у нашего героя появился сын. Взял он всё лучшее от отца, а кое в чём и превзошёл его. Это самый ранний гибрид в нашей коллекции.</t>
  </si>
  <si>
    <t>4680235042189</t>
  </si>
  <si>
    <t>Томат Сэр Эллиан 3 шт. (СР) 682504466</t>
  </si>
  <si>
    <t>4680235051174</t>
  </si>
  <si>
    <t>Томат Тверия 5 шт. (СР) 253817658</t>
  </si>
  <si>
    <t>Тверия показывает отличную холодостойкость, засухоустойчивость и завязываемость плодов при высоких температурах. При этом обладает очень высокими вкусовыми качествами (содержание сахаров до 4%). Помидоры крупные, многокамерные, красивого темно-красного цвета, массой 300-350 г. Растение детерминантное (60-70 см), компактное, хорошо облиственное, что позволит защитить многочисленный урожай от солнца. Гибрид среднеспелый, обладает повышенной устойчивостью к вирусу бронзовости томата, фузариозному, вертициллезному увяданию и бактериальной пятнистости. Рекомендуем для свежего потребления и консервирования (в банке не трескается).</t>
  </si>
  <si>
    <t>4680235076658</t>
  </si>
  <si>
    <t>Томат Тезоро F1 5шт (СР) 622390291</t>
  </si>
  <si>
    <t>4680235047375</t>
  </si>
  <si>
    <t>Томат Темный Лорд 5 шт. (СР) 254433506</t>
  </si>
  <si>
    <t>Эксклюзивный сорт помидора, сочетающий в себе грушевидную форму и антоциановый окрас плодов. Кусты напоминают инопланетные растения: на фоне иссиня-тёмно-зелёной курчавой листвы выделяются чёрные ребристые плоды, при созревании как будто горящие изнутри. Необычайно вкусные с темно-вишневой сахаристой мякотью. Сорт среднеспелый, урожайный. Куст индетерминантный, формирует до восьми кистей, в каждой из которых созревает 6-8 плодов. Устойчив к комплексу заболеваний.</t>
  </si>
  <si>
    <t>4680235054472</t>
  </si>
  <si>
    <t>Томат Терешечка черри 10 шт. (СР) 186563225</t>
  </si>
  <si>
    <t>Плоды ярко-красные, удлиненно-овальные, гладкие, плотные, массой 15-20 г, устойчивы к растрескиванию, содержат много сахаров. Собраны в многочисленные кисти по 6-8 штук. Растение низкорослое (45-50 см), очень декоративное. Обладает иммунитетом, которому могут позавидовать многие высокорослые сорта. Благодаря скороспелости и дружному созреванию избегает фитофтороза. Сорт скороспелый (85-95 дней), детерминантный. Урожайность 13-15 кг/м2.</t>
  </si>
  <si>
    <t>4680235037550</t>
  </si>
  <si>
    <t>Томат Тигерелла 12 шт. (СР) 499342504</t>
  </si>
  <si>
    <t>4610008126624</t>
  </si>
  <si>
    <t>Томат Урожайный парадокс 12 шт. (СР) 580641156</t>
  </si>
  <si>
    <t>Случаются иногда в помидорном царстве настоящие парадоксы. Есть сорта, у которых и кусты, и плоды под стать друг другу. Мощный крепкий куст даёт крупные плоды, слабый куст — плоды невзрачные. Но, когда на хрупком, дробненьком кусте начинают наливаться в изобилии очень крупные красивые помидоры, удивлению нет предела. Откуда что берёт- ся? Ни крупных листьев, ни мощного стебля, а при сборе урожая ведром не обойдёшься, нужна тележка внушительных размеров. Вот таков наш «Урожайный парадокс»! Хотя нередко бывают примеры и обратного свойства.
Как-то из уважаемого селекционного института получили мы разрекламированные семена чудо-сорта. И правда, росло какое-то чудо. Красивый, высокий и мощный куст с тёмно-зелёными гигантскими листьями. Стебель — с руку толщиной. А уродилось на этом гиганте граммов двести мелких, хилых помидорчиков. Вот так — гора родила мышь.</t>
  </si>
  <si>
    <t>4680235046910</t>
  </si>
  <si>
    <t>Томат Фисташковый великан 5 шт. (СР) 216318311</t>
  </si>
  <si>
    <t>Фисташковый великан - это сладкие, ароматные помидоры, которые хочется выращивать снова. Плоды зеленые с легким розовым румянцем у основания. Свой цвет сорт получает из-за большого количества хлорофилла, который обладает свойствами, близкими к гемоглобину – повышает уровень кислорода в крови и укрепляет клетки. Зеленые томаты показаны тем, у кого есть аллергические реакции на антоциан и ликопин. Кроме того, они меньше подвержены грибковым заболеваниям. Сорт среднеспелый, индетерминантный. Уход обычный, как для красных сортов.</t>
  </si>
  <si>
    <t>4680235076665</t>
  </si>
  <si>
    <t>Томат Харцфойер F1 5 шт. (СР) 581588522</t>
  </si>
  <si>
    <t>Легендарный немецкий гибрид первого поколения. На местных рынках считается самым вкусным. Завязывает по 8–10 плодов в кисти, массой 80-100 г. Помидорки однородные, огненно-красные. Мякоть плотная, сладковатая. Растение сильнорослое с короткими междоузлиями. Гибрид ранний (75-80 дней), индетерминантый (170-190 см), очень урожайный. Высокоустойчив к заболеваниям.</t>
  </si>
  <si>
    <t>4680235026486</t>
  </si>
  <si>
    <t>Томат Хьюго 10 шт. (СР) 541705482</t>
  </si>
  <si>
    <t>Большие плоды (200 г), привлекающие внимание и по форме напоминающие перец, обладают изумительным вкусом и имеют плотную мясистую мякоть почти без семян. Можно ломать руками напополам. Прекрасен для приготовления салатов, соков, пюре и фарширования. Растение индетерминантное (80-140 см), требует подвязки. Лучше формировать в 1 стебель (в теплицах – в 2 стебля). Хранится до 5 месяцев в прохладном сухом месте. Устойчив ко всем основным заболеваниям.</t>
  </si>
  <si>
    <t>4610008126303</t>
  </si>
  <si>
    <t>Томат Чемпион 15 шт. (СР)</t>
  </si>
  <si>
    <t>В овощеводстве есть понятие товарность. По набору качеств «Чемпион» принадлежит к самым высокотоварным гибридам открытого грунта. Плоды крупные, красивые, одномерные, великолепной формы и таких же великолепных вкусовых достоинств. Перехвалить его трудно, тем более что и урожайность выдающаяся. Масса плодов достигает 200 г. Пасынкование не требуется, нужно лишь осветлить обильные нижние кисти, открыть их полностью солнцу. Для этого часть затеняющих плоды нижних листьев убирают.</t>
  </si>
  <si>
    <t>4680235038137</t>
  </si>
  <si>
    <t>Томат черри Марс 5 шт. (СР) 580643966</t>
  </si>
  <si>
    <t>Тот самый случай, когда сладкое не вредно, а полезно и невероятно вкусно! В определенной мере Марс даже может стать эталоном на ближайшие годы! Плоды сливовидные, ярко-красные, с небольшими гранями, массой 15-25 г. Лежкость до 30 дней! Гибрид ранний (80-85 дней), индетерминантного типа роста (до 200 см). Кисть сложная, с 30-50 плодами. Пожалуй, нет таких томатных болезней, к каким не был бы устойчив Марс. А еще он обладает хорошей завязываемостью в неблагоприятных условиях. Предназначен для выращивания в защищенном грунте.</t>
  </si>
  <si>
    <t>4680235037567</t>
  </si>
  <si>
    <t>Томат черри Одат 5 шт. (СР) 780197607</t>
  </si>
  <si>
    <t>Очаровательно красивый и невероятно плодовитый индетерминантный томат черри. Вытянутые, как крохотные «дамские пальчики», сочно оранжевые помидорки с плотной мякотью отличного, очень сладкого вкуса. Если закрыть глаза, то можно представить, что кушаешь фрукт. На каждой кисти 20-25 плодов, которые не трескаются и не опадают, так что урожай можно собирать целыми кистями. Подходит для открытого грунта, пленочных теплиц и для выращивания в больших горшках на балконе. Устойчив к самым распространенным болезням томатов.</t>
  </si>
  <si>
    <t>4610008126648</t>
  </si>
  <si>
    <t>Томат Шедевр 12 шт. (СР)  541711186</t>
  </si>
  <si>
    <t>Этим гибридом Вы будете гордиться по-настоящему. «Шедевр» — не просто уникальный гибрид, это гибрид-сюрприз. Достоинства: абсолютно правильная, округлая форма плодов и феноменально высокая урожайность, что, согласитесь, редкость для крупноплодных помидоров. Вкус потрясающий!</t>
  </si>
  <si>
    <t>4680235076672</t>
  </si>
  <si>
    <t>Томат Элефант 5 шт. (СР) 682555208</t>
  </si>
  <si>
    <t>4610008126716</t>
  </si>
  <si>
    <t>Томат Энергия 15 шт. (СР) 186563312</t>
  </si>
  <si>
    <t>Из серии суперпомидоров, в открытом грунте гарантированно дает высокие урожаи (до 17 кг/м2). Мощные невысокие кусты (60-70 см), потрясающая урожайность. Отменная крупноплодность, великолепный вкус. Все помидоры ровные и красивые, как на подбор, массой до 400 г.</t>
  </si>
  <si>
    <t>4680235046927</t>
  </si>
  <si>
    <t>Томат Ярило 5 шт. (СР) 682006237</t>
  </si>
  <si>
    <t>4610008124316</t>
  </si>
  <si>
    <t>Ц Бриза Большая 0,2 гр. (СР) 214405554</t>
  </si>
  <si>
    <t>Злаковое однолетнее растение, высотой до 50 см, покоряющее трепетом лёгких колосков, изяществом и нежностью. Метёлки кистевидные с крупными колосками размером 1-2,5 см на длинных тонких ножках. Любой композиции придаёт неповторимое очарование и прелесть, широко используется флористами в аранжировке зимних букетов.</t>
  </si>
  <si>
    <t>4680235033293</t>
  </si>
  <si>
    <t>Ц Мюленбергия бесстрашная 10 шт. (СР) 214408013</t>
  </si>
  <si>
    <t>Один из самых красивых многолетних злаков – с плотным компактным кустом до 50 см высотой и нежными розово-малиновыми воздушными колосками, которые появляются осенью, и даже высыхая, всю зиму остаются декоративными. Стойкий к любым условиям и простой в уходе.</t>
  </si>
  <si>
    <t>4680235015640</t>
  </si>
  <si>
    <t>Ц Пампасная трава Плюм Белая 0,1 гр. (СР) 214411109</t>
  </si>
  <si>
    <t>Неприхотливый вечнозелёный многолетник, образующий плотные дерновины из тонких и длинных сизовато-зелёных листьев, изящно изгибающихся вниз. Над ними возвышаются на высоту до 3 м стройные цветоносы с пышными соцветиями-метёлками, которые достигают длины 20-40 см. Предпочитает достаточно плодородные почвы, нетребователен к увлажнённости, очень любит солнце и тепло, зимует с укрытием. В районах с суровыми зимами лучше на зиму переносить в помещение.</t>
  </si>
  <si>
    <t>4680235033347</t>
  </si>
  <si>
    <t>Ц Пеннисетум лисохвостовый 10 шт. (СР) 214552190</t>
  </si>
  <si>
    <t>Плотная кочка, высотой до 80 см, с узкими сочно-зелёными листьями, которые осенью становятся золотистыми. Забавные светлые колоски, похожие на цилиндрические ёршики, появляются в конце лета и по мере созревания приобретают золотисто-красный оттенок.</t>
  </si>
  <si>
    <t>4680235042301</t>
  </si>
  <si>
    <t>Цефалофора (земляничная трава) 10 шт. (СР)</t>
  </si>
  <si>
    <t>Пряность с ароматом спелой земляники с оттенком ананаса и карамели. Можно использовать в выпечку, добавлять в настойки, готовить соусы. Заготовку сырья производят в фазу цветения, подойдет вся надземная часть растения.</t>
  </si>
  <si>
    <t>4680235058685</t>
  </si>
  <si>
    <t>Черный тмин (чернушка посевная) 0,5 гр. (СР)</t>
  </si>
  <si>
    <t>Он же дикий фенхель и римский кориандр. Пряная зелень и приправа со вкусом мускатного ореха и душистого перца для салатов, рыбных и мясных блюд, супов, гарниров, выпечки, десертов, напитков и консервации. Все части растения съедобны. Выращивание на зелень ничем не отличается от выращивания раннеспелого укропа. Созревание коробочек с многочисленными семенами приходится на август и сентябрь. Семена красивой геометрической формы, черные. Для употребления в пищу их мелят или толкут в ступке. Молодые побеги и листья богаты аскорбиновой кислотой и каротином. Семена богаты Омега жирными кислотами, железом, кальцием, фосфором и эфирными маслами с ярким оттенком запаха и вкуса.</t>
  </si>
  <si>
    <t>4680235058708</t>
  </si>
  <si>
    <t>Чиа (шалфей испанский) 0,5 гр. (СР)</t>
  </si>
  <si>
    <t>Травянистый однолетник. Теперь эту потрясающую культуру (60-90 см) можно вырастить и в России. В семенах чиа количество железа в 4 раза больше, чем в шпинате, а содержание магния в 13 раз выше, чем в брокколи. Они питательные, вкусные. В них отсутствует глютен. С ними можно приготовить кашу без варки!, фруктовые желе, пудинги, смузи, салаты, хлеб и сдобу. Листочки шалфея тоже вкусны и полезны. Цветет плотными кистями из голубых и лавандовых цветков.</t>
  </si>
  <si>
    <t>4607149404186</t>
  </si>
  <si>
    <t>Арбуз Фермер F1  1г  (Сед)</t>
  </si>
  <si>
    <t>Седек</t>
  </si>
  <si>
    <t>Раннеспелый гибрид (от всходов до созревания плодов 70-80 дней, от завязывания плодов до созревания 26 дней) для открытого и защищенного грунта. Растение длинноплетистое, сильноветвистое. Плоды округлые, зеленые с черными полосами, массой 5-8 кг. Кора толстая, плотная. Мякоть красная, сочная, зернистая, очень сладкая.Урожайность с растения 15-25 кг. Ценность гибрида: устойчивость к заболеваниям, удачное сочетание скороспелости, крупноплодности и высокой сахаристости. Назначение универсальное.</t>
  </si>
  <si>
    <t>4690368011051</t>
  </si>
  <si>
    <t>Базилик Дивный денек (Седек)</t>
  </si>
  <si>
    <t>Однолетнее пряное эфиромасличное травянистое растение для выращивания в теплицах и пленочных укрытиях, высотой 40-50 см. Стебель ветвистый темно-бордового цвета. Листья мелкие, гладкие, оливково-зеленые и пурпурные по краю листа. Цветки пурпурные, собраны в колосовидное соцветие. Все растение имеет пряный анисовый аромат и вкус. Тепло-, свето- и влаголюбив.</t>
  </si>
  <si>
    <t>4607015181241</t>
  </si>
  <si>
    <t>Баклажан Блек Бьюти 0,2 г (Седек)</t>
  </si>
  <si>
    <t>Раннеспелый "100-110 дней" сорт для открытого грунта и пленочных укрытий. Растение компактное, высотой 45-55 см. Плоды фиолетово-черные, округло-грушевидной формы, массой 200-250 "до 300 г". Мякоть нежная, белая, без горечи.</t>
  </si>
  <si>
    <t>4690368005692</t>
  </si>
  <si>
    <t>Баклажан Для Барбекю 0,2 гр. (Седек)</t>
  </si>
  <si>
    <t>Среднеспелый (110-115 дней) высокоурожайный гибрид. Растение полураскидистое, среднерослое, высотой 70-80 см. Плоды цилиндрические, вытянутые, темно-фиолетовые, гладкие, массой до 200 г. Мякоть беловатая, нежная, без горечи, при приготовлении барбекю отличается на редкость изысканным, нежным и пикантным вкусом. Сорт устойчив к вертициллезному увяданию и характеризуется продолжительным плодоношением.</t>
  </si>
  <si>
    <t>4690368007733</t>
  </si>
  <si>
    <t>Бобы Велена  (Седек)</t>
  </si>
  <si>
    <t>Растение кустовое, стебель высотой 80-100 см. Боб сахарный, мясистый, без пергаментного слоя, длиной 10-12 см, шириной 2 см, 3-4 семянный. Семена округло-угловатые, светло-палевые.</t>
  </si>
  <si>
    <t>4607149403868</t>
  </si>
  <si>
    <t>Бораго Жемчужина (огуречная трава) (Сед)</t>
  </si>
  <si>
    <t>Бораго — пряно-вкусовое неприхотливое растение с ярко выраженным огуречным запахом. Образует пышный сильноветвистый кустик с опущенными зелено-серебристыми листьями и яркими звездчатыми белыми цветками. Лучше растет на солнечных местах, но переносит и полутень. Дает высокие урожаи на питательной и достаточно увлажненной почве. Ценность растения: холодостойкость, широко используется как медонос. Применяется в народной медицине для лечения ревматизма, подагры, при кожных заболеваниях, как успокаивающее, слабительное, мочегонное и как средство для лечения бронхов. В пищу употребляются молодые листья в салатах, окрошке, холодных борщах</t>
  </si>
  <si>
    <t>4690368004329</t>
  </si>
  <si>
    <t>Валериана Доктор Сердечный 0,05 гр. (Сед)</t>
  </si>
  <si>
    <t>Многолетнее травянистое растение семейства Валериановые. Растение с прямостоячим стеблем, высотой до 2 м. Листья супротивные, нижние – черешковые, верхние – сидячие. Цветки мелкие, душистые, от белых до розовых, собраны в метёльчатое соцветие. Корневища с корнями, являющиеся лекарственным сырьём, содержат эфирного масла 2%, алкалоиды, органические кислоты, дубильные вещества, селен, железо. Порошки, настои и отвары корней валерианы применяют, как успокаивающее и общеукрепляющее средство, при бессоннице, нервном возбуждении, неврозе, спазмах сосудов, тахикардии, эпилепсии, астме, мигрени, спазмах желудочно-кишечного тракта и расстройствах половой функции.</t>
  </si>
  <si>
    <t>4690368007825</t>
  </si>
  <si>
    <t>Горчица Закусочная (Седек)</t>
  </si>
  <si>
    <t>Очень скороспелое (25-35 дней) однолетнее салатное растение для выращивания в открытом грунте и под плёнкой в течение сезона, с апреля по август с посевом через каждые 15-20 дней. Листья овальные, цельные, зелёные, по краям изрезанные. Урожайность зелени 1,5-2 кг/м2. Ценность сорта: скороспелость и очень высокие целебные свойства. Зелень горчицы рекомендуют при малокровии и авитаминозе, для повышения аппетита, улучшения пищеварения, снижения артериального давления. Активизирует обмен веществ, укрепляет иммунитет, предотвращает инфаркт. Рекомендуется для употребления в свежем виде и для приготовления салатов, гарниров к мясным и рыбным блюдам, добавляется в окрошку и во всевозможные закуски.</t>
  </si>
  <si>
    <t>4690368031349</t>
  </si>
  <si>
    <t>Горчица Красавица Застолья сарепская 1 гр. (Седек)</t>
  </si>
  <si>
    <t>Среднеспелый (Период от полных всходов до уборки на зелень 30-35 дней) салатный сорт для выращивания в открытом грунте и под плёнкой в течение всего сезона с посевом через каждые 15-20 дней с апреля по август. Розетка среднего диаметра. Листья темно-зеленые с фиолетово-красными жилками, слабо- пузырчатые, с ярким горчичным вкусом.</t>
  </si>
  <si>
    <t>4607015186031</t>
  </si>
  <si>
    <t>Дайкон Большой бык 1 гр. (Седек)</t>
  </si>
  <si>
    <t>Среднеспелый (от всходов до хозяйственной годности 66-69 дней) сорт. Корнеплоды крупные, белые, овально-цилиндрические, гладкие, массой 3 кг и более. Мякоть белая, плотная, оченьсочная. Вкусовые качества высокие.</t>
  </si>
  <si>
    <t>4607015186055</t>
  </si>
  <si>
    <t>Дайкон Японский белый длинный 1 гр. (Седек)</t>
  </si>
  <si>
    <t>позднеспелый сорт для выращивания в открытом грунте и в тепличных условиях. Период полного созревания от всходов до сбора урожая от 65 до 70 дней. Корнеплод крупный, морковной формы, длинный с слегка зауженным концом, светлого цвета. Мякоть уплотненная, белого цвета, очень сочная со слабым острым вкусом. Масса одного корнеплода в полной зрелости от 2 кг. до 3 кг.</t>
  </si>
  <si>
    <t>4690368032865</t>
  </si>
  <si>
    <t>Дайкон Японский Красный Длинный 1гр (Седек)</t>
  </si>
  <si>
    <t>Раннеспелый сорт (от всходов до хозяйственной годности 50-55 дней) для открытого и защищенного грунта. Корнеплоды удлиненно-цилиндрические, малиново-красные, с небольшим розовым кончиком, длиной 25-30 см, массой 0,3-0,6 кг. Мякоть белая, плотная, сочная, пикантного вкуса. Урожайность 2,5-3,0кг/м2.</t>
  </si>
  <si>
    <t>4690368012751</t>
  </si>
  <si>
    <t>Дыня Армянский огурец Богатырь белый  (Седек)</t>
  </si>
  <si>
    <t>Армянский огурец – это растение, которое представляет собой гибрид огурца и дыни. Это экзотическая бахчевая культура семейства тыквенных, имеющая необычный внешний вид, сладковатый вкус и приятный дынный аромат.</t>
  </si>
  <si>
    <t>4690368012768</t>
  </si>
  <si>
    <t>Дыня Армянский огурец Богатырь зеленый  (Седек)</t>
  </si>
  <si>
    <t>Армянский огурец – это  растение, которое представляет собой гибрид огурца и дыни. Это экзотическая бахчевая культура семейства тыквенных, имеющая необычный внешний вид, сладковатый вкус и приятный дынный аромат.</t>
  </si>
  <si>
    <t>4690368024099</t>
  </si>
  <si>
    <t>Земляника Сладкоежка F1 (клубника)  (Седек)</t>
  </si>
  <si>
    <t>Раннеспелый гибрид крупноплодной земляники для открытого и защищенного грунта. Растение компактное, высотой 30 см. Ягоды ярко-красные, округлые, массой 30-50 г, с плотной, сочной мякотью, изысканным вкусом и ароматом. Урожайность 2 кг спелых ягод с растения за сезон. Ценность гибрида: устойчивость к болезням, выносливость к неблагоприятным погодным условиям.</t>
  </si>
  <si>
    <t>4690368017022</t>
  </si>
  <si>
    <t>Земляника Сластена F1 15 шт. (Седек)</t>
  </si>
  <si>
    <t>Раннеспелый гибрид крупноплодной ремонтантной земляники для открытого и защищенного грунта. Растение компактное, высотой 25-30 см, с множеством белых соцветий. Ягоды ярко-красные, округлые, массой 15-18 г, с плотной, сочной мякотью, изысканным кисло-сладким вкусом и ароматом. Урожайность 1,5-2,0 кг спелых ягод с растения.</t>
  </si>
  <si>
    <t>4690368015967</t>
  </si>
  <si>
    <t>Земляника Фреска F1  (Седек)</t>
  </si>
  <si>
    <t>Раннеспелый сорт крупноплодной клубники. Высота куста 25-30см с небольшим количеством ползучих побегов. Ягоды крупные, плотные, ароматные, вкусные, сочные, диаметром 2-3 см. Урожай в первый год посева достигает 1кг с куста.</t>
  </si>
  <si>
    <t>4690368026154</t>
  </si>
  <si>
    <t>Кабачок Ажур F1 (Седек)</t>
  </si>
  <si>
    <t>Раннеспелый (40-45 дней) гибрид. Растение кустовое, облиственное, мощное, формирует одновременно до 10 плодов. Плоды зеленовато-белые, удлиненно-цилиндрические, длиной 25-35 см, массой 0,7-1,1 кг. Мякоть белая, плотная, с высокими вкусовыми качествами.</t>
  </si>
  <si>
    <t>4690368035125</t>
  </si>
  <si>
    <t>Кабачок Ажур Вороной F1 (Седек)</t>
  </si>
  <si>
    <t>Скороспелый (47-50 дней) гибрид. Растение кустовое, мощное, лист среднерассеченный.   Плоды темно-зеленые, цилиндрические, гладкие, слегка ребристые, выравненные, длиной в съемной спелости 15-20 см, при выращивании для зимнего хранения - до 70-80 см. Мякоть бело-кремовая, нежная, плотная. Вкусовые качества высокие. Ценность гибрида: высокая урожайность и товарность плодов, устойчивость к мучнистой росе и антракнозу. Рекомендуется для кулинарной переработки и консервирования.</t>
  </si>
  <si>
    <t>4607149406234</t>
  </si>
  <si>
    <t>Кабачок Ванюша (Седек)</t>
  </si>
  <si>
    <t>Раннеспелый (47–50 дней) гибрид. Растение мощное, кустовое, среднеоблиственное. Главный стебель слабоветвящийся, с короткими боковыми побегами. Лист большой с осветлёнными пятнами, предохраняющий растения от перегрева и резких перепадов температуры. Плоды цилиндрические, ровные, слегка ребристые, светло-зелёные в белую крапинку, длиной 37 см, массой 0,7-1,2 кг, с белой нежной плотной мякотью.</t>
  </si>
  <si>
    <t>4690368017350</t>
  </si>
  <si>
    <t>Кабачок Маша 2 гр. (Седек)</t>
  </si>
  <si>
    <t>Раннеспелый (от всходов до спелости плодов 45-50 дней) гибрид. Растение  кустовое, компактное, среднеоблиственное. Плоды цилиндрические, слаборебристые, бело-салатные с редкими светло-зелеными пятнами, массой 0,7-1,1 кг, с глянцевой блестящей тонкой кожицей. Мякоть белая, среднеплотная.</t>
  </si>
  <si>
    <t>4690368004268</t>
  </si>
  <si>
    <t>Кабачок Мечта хозяйки 2 гр. (Седек)</t>
  </si>
  <si>
    <t>Ультраскороспелый (от всходов до спелости плодов 42-45 дней) сорт. Куст средней мощности, малооблиственный. Плоды многочисленные, цилиндрические, белые, тонкокорые, массой 0,6-1,0 кг. Мякоть кремовая, плотная, сочная, нежная. Вкусовые качества высокие.</t>
  </si>
  <si>
    <t>4690368014274</t>
  </si>
  <si>
    <t>Кабачок Спагетти (Седек)</t>
  </si>
  <si>
    <t>Среднеспелый (56-62 дня) сорт. Растение среднерослое, плетистое. Плоды овально-цилиндрические, гладкие, светло-кремово-желтые. Мякоть плотная, кремово-желтая, волокнистая, используется для приготовления овощных спагетти. Ценность сорта: неприхотливость, устойчивость к болезням, высокие вкусовые и диетические качества.</t>
  </si>
  <si>
    <t>4690368022057</t>
  </si>
  <si>
    <t>Кабачок Теща Хлебосольная F1 2г  (Седек)</t>
  </si>
  <si>
    <t>Раннеспелая гибридная разновидность. Растение очень мощное, кустового типа. До 10 плодов может завязываться одновременно. Листья у кустов средне-изрезанные, массивные. Плоды отличаются округлой формой. Для них характерна слаборебристая, красивая выровненная поверхность. Кожица на кабачках светло-зеленого оттенка. При созревании она начинает стремительно белеть. Спелые плоды достигают веса от 1,5 до 2,5 кг. Мякоть у этих кабачков нежная. Отличается беловато-кремовым цветом.</t>
  </si>
  <si>
    <t>4607015186420</t>
  </si>
  <si>
    <t>Капуста б/к Атрия F1 (Седек)</t>
  </si>
  <si>
    <t>Сорт имеет кочаны округлой формы. Иногда встречаются округло-плоская форма. Вилки крупные и выровненные. Средний вес их 5-8 кг, но отдельные экземпляры могут дорасти до 10 кг. Кочаны на срезе имеют зеленовато-белый цвет. Внутренняя кочерыга очень  короткая.</t>
  </si>
  <si>
    <t>4690368004275</t>
  </si>
  <si>
    <t>Капуста б/к Бабушкин секрет (Седек)</t>
  </si>
  <si>
    <t>Среднеспелый (125-140 дней) сорт. Кочаны плоскоокруглые, крупные, среднеплотные, светло-зеленые, массой 2-4 (до 6) кг, с нежной тонкой внутренней структурой. Вкусовые качества высокие. Ценность сорта: устойчивость к сосудистому бактериозу, выравненность кочанов, отличные технологические и товарные качества.</t>
  </si>
  <si>
    <t>4690368036337</t>
  </si>
  <si>
    <t>Капуста б/к Сахарная гора 0,05 гр (Седек)</t>
  </si>
  <si>
    <t>Позднеспелый (135-140 дней) гибрид. Розетка листьев приподнятая. Лист среднего размера, слабоволнистый по краю, серо-зеленый с сильным восковым налетом. Кочаны округлые, очень плотные, на разрезе желтоватые, массой 2,5-4 кг.</t>
  </si>
  <si>
    <t>4690368026109</t>
  </si>
  <si>
    <t>Капуста б/к Сахарный шар 0,5 гр (Седек)</t>
  </si>
  <si>
    <t>Раннеспелый (75-85 дней) гибрид. Розетка листьев диаметром 60 см, лист серо-зеленый, со слабым восковым налетом. Кочаны округлые, массой 1,0-1,5 кг, с короткой кочерыгой. Внутренняя текстура желтоватая, очень плотная, сочная, сладкая.</t>
  </si>
  <si>
    <t>4607149404513</t>
  </si>
  <si>
    <t>Капуста брюс. Дружная семейка 0.3г  (Седек)</t>
  </si>
  <si>
    <t>Среднепоздний (180-190 дней) сорт. Растение сильнорослое, высотой 1-1,2 м. Лист крупный, зеленый. На стебле формируется от 50 до 70 округло-овальных зеленых кочанчиков, диаметром 3-4 см, массой 10-15 г каждый.</t>
  </si>
  <si>
    <t>4607149404414</t>
  </si>
  <si>
    <t>Капуста савойская Пирожковая 0,5 гр. (Седек)</t>
  </si>
  <si>
    <t>Раннеспелый (100-105 дней) сорт. Розетка листьев полуприподнятая. Листья темно-зеленые, волнистые, пузырчатые. Кочан конусовидный, среднеплотный, массой 0,8-1 кг, в разрезе светло-желтый, со среднего размера кочерыжкой. Урожайность 4,5-5,6 кг/м2. Ценность сорта: устойчивость к основным болезням, морозо- и засухоустойчивость, очень нежная структура листьев, низкое содержание клетчатки. Рекомендуется для употребления в свежем виде, приготовления салатов, голубцов и начинки пирогов.</t>
  </si>
  <si>
    <t>4607149400799</t>
  </si>
  <si>
    <t>Капуста цв. Экспресс МС (Седек)</t>
  </si>
  <si>
    <t>Раннеспелый (от всходов до технической спелости 100-104 дня) сорт. Розетка листьев приподнятая. Головка округлая, среднего размера, плотная, бело-желтоватой окраски, массой 350-500 г. Вкусовые качества отличные. Ценность сорта: устойчивость к бактериозу, высокая урожайность, выравненность головок, подходит для транспортировки и недлительного хранения. Ценный диетический продукт при различных желудочно-кишечных заболеваниях. Рекомендуется для употребления в отварном, запеченном, консервированном виде, отлично подходит для заморозки.</t>
  </si>
  <si>
    <t>4690368008938</t>
  </si>
  <si>
    <t>Кервель Ароматный (Седек)</t>
  </si>
  <si>
    <t>Среднеспелый (30-35 дней) сорт. Растение травянистое, высотой 40-60 см. Листья светло-зеленые, перисторассеченные, с зубчатым краем. Цветки белые мелкие, собраны в зонтичное соцветие. Все растение имеет приятный анисовый запах и вкус. Урожайность зеленой массы 1-1,2 кг/м2. Ценность сорта: холодостойкость, теневыносливость, декоративность (листья используются для украшения блюд). Богат витаминами А и С, каротином, рутином.</t>
  </si>
  <si>
    <t>4690368004299</t>
  </si>
  <si>
    <t>Котовник Сонник (Седек)</t>
  </si>
  <si>
    <t>Многолетнее растение семейства Губоцветные. Стебель прямостоячий, высотой до 1 м. Листья опушенные. Цветки белые, собраны в ложные мутовки на концах побегов. Отвары и настои травы обладают высокой антимикробной активностью и фунгицидным действием к плесневым грибам, укрепляют иммунитет. Рекомендуются при малокровии, кашле, отдышке, заболеваниях печени, желудка, при желтухе, атонии кишечника, мигрени, анемии и головной боли, гинекологических заболеваниях.</t>
  </si>
  <si>
    <t>4690368012577</t>
  </si>
  <si>
    <t>Кукуруза Мечта Гурмана (Седек)</t>
  </si>
  <si>
    <t>Гибридный сорт раннего плодоношения: срок от посева семян до созревания початков 76-91 дней. Высокорослое растение приспособлено к климатическим условиям умеренно-континентальной полосы. Урожайность высокая. Зерна желтые, крупные, собраны в початки 20 см длиной.</t>
  </si>
  <si>
    <t>4607015188851</t>
  </si>
  <si>
    <t>Лаванда Юдифь   (Седек)</t>
  </si>
  <si>
    <t>Многолетнее пряно-вкусовое лекарственное медоносное декоративное растение. Куст плотный, полушаровидный, высотой 50-60 см, диаметром 60 см. Листья продолговато-линейные, серовато-зеленые. Цветки фиолетово-голубые, собраны в колосовидные соцветия. Все растение имеет сильный аромат. Ценность культуры: декоративность и высокие лечебные свойства.</t>
  </si>
  <si>
    <t>4607015186352</t>
  </si>
  <si>
    <t>Лагенария Секрет цилиндрическая 2г (Сед) 217553170</t>
  </si>
  <si>
    <t>Среднерослый урожайный сорт. Растение теплолюбивое, длинноплетистое, сильноветвистое, с нежно-зелеными слегка опущенными крупными листьями. Предназначено для выращивания под пленочным укрытием. Зрелые плоды длиной до 1м. Молодые зеленцы пригодны для консервирования, приготовления вторых блюд, овощного рагу, обжаривания в панировочных сухарях. Растение может с успехом использоваться для вертикального озеленения.</t>
  </si>
  <si>
    <t>4690368030335</t>
  </si>
  <si>
    <t>Лук Ажур репч. 1 гр. (Седек)</t>
  </si>
  <si>
    <t>Среднеспелый (90 -120 дней) сорт репчатого лука для получения ранней зелени или стандартной луковицы летом. Выращивается в однолетней культуре из семян. Перо темно-зеленое, сочное, нежное, пикантного вкуса, долго не грубеет. Луковицы округлые, выравненные, массой 150-200 г. Сухие чешуи светло-коричневые, плотные, сочные – белые, полуострые.</t>
  </si>
  <si>
    <t>4607149404650</t>
  </si>
  <si>
    <t>Лук батун Сережа 0,3 гр. (Седек)</t>
  </si>
  <si>
    <t>Межвидовой гибрид лука-батуна с луком репчатым. Растение мощное прямостоячее, высокорослое (до 1,5 м), с толстым и длинным ложным стеблем, «отбеленной ножкой». Листья дудчатые, голубовато-зелёные, с сильным восковидным налетом, длиной 50-70 см, диаметром 1,5-2,5 см, очень нежные и сочные, полуостро-сладкого вкуса.</t>
  </si>
  <si>
    <t>4690368014359</t>
  </si>
  <si>
    <t>Лук порей Аллигатор 1 гр. (Седек)</t>
  </si>
  <si>
    <t>Среднепоздний. Растение высокое. Листья приподнятые с плотным расположением, листовая пластинка длинная, широкая, серо-зеленая, с сильным восковым налетом, без антоциановой окраски. Длина отбеленной части до 30 см, диаметр 4 см, масса 280-310 г.</t>
  </si>
  <si>
    <t>4690368026338</t>
  </si>
  <si>
    <t>Лук Ред Якут 0.5г (Седек)</t>
  </si>
  <si>
    <t>Позднеспелый (от всходов до полегания пера 130-135 дней) сорт для выращивания в однолетней культуре из семян. Урожайность до 9 кг/м². Ценность сорта: стабильная урожайность, высокое качество товарных луковиц, пригодность для хранения 4-6 месяцев. Рекомендуется для приготовления салатов, хорошо сочетается с мясными и рыбными блюдами.</t>
  </si>
  <si>
    <t>4607015187434</t>
  </si>
  <si>
    <t>Лук Фермер 1 гр.(Седек)</t>
  </si>
  <si>
    <t>Среднеспелый (от всходов до полегания пера 90-120 дней) сорт для выращивания в однолетней культуре из семян. Луковицы округлые, крупные, плотные, массой 150-200 до 300-350 г. Сухие чешуи тёмно-золотистые, сочные - молочно-белые. Острого вкуса.</t>
  </si>
  <si>
    <t>4690368005777</t>
  </si>
  <si>
    <t>Лук Черемша Медвежий деликатес (Седек)</t>
  </si>
  <si>
    <t>Очень скороспелый многолетний вид лука. Образует корневище удлиненной луковицей, на которой развивается два ланцетовидных листа на крупных черешках. Все части растения имеют мягкий чесночный запах и вкус. Используется в свежем и переработанном виде для приготовления салатов, щей, приправ к мясным блюдам, как закуска. Растение обладает сильными фитонцидными свойствами, антицинготным и антивирусным действиями.</t>
  </si>
  <si>
    <t>4607015187465</t>
  </si>
  <si>
    <t>Лук Шаман Е (Седек)</t>
  </si>
  <si>
    <t>Скороспелый (от всходов до полегания пера 78-95 дней) сорт для выращивания в однолетней культуре из семян. Малозачатковый. Луковицы выравненные, сильно вытянутые, до 10-12 см длиной, средней плотности, массой 50-65 г. Сухие чешуи коричнево-красные, сочные – розово-красные. Острого вкуса. Урожайность 2,7 кг/м2.</t>
  </si>
  <si>
    <t>4690368030359</t>
  </si>
  <si>
    <t>Морковь Ажур 2 гр. (Седек)</t>
  </si>
  <si>
    <t>Среднеспелый (100-110 дней) сорт. Розетка листьев полураскидистая. Корнеплоды конические с тупым кончиком, оранжевые, гладкие, длиной 16-20 см, массой 150-200 г. Сердцевина тонкая, яркая, мякоть плотная, сочная, сладкая.</t>
  </si>
  <si>
    <t>4607015187526</t>
  </si>
  <si>
    <t>Морковь Долянка Е(Седек)</t>
  </si>
  <si>
    <t>Среднеранний (от всходов до технической спелости 105-120 дней) сорт. Корнеплоды ярко-оранжевые, конические, длиной  25-28 см, массой 95-145 г, сердцевина крупная. Вкус очень сладкий, сочный, с повышенным содержанием бета-каротина.</t>
  </si>
  <si>
    <t>4690368039413</t>
  </si>
  <si>
    <t>Огурец Аллигатор 3 (Китайский холодоустойчивый) F1 (Седек)</t>
  </si>
  <si>
    <t>Среднеспелый (50-55 дней) пчелоопыляемый гибрид для открытого грунта (на шпалерах), пленочных теплиц и укрытий. Растение сильнорослое, средневетвистое, лист крупный темно-зеленый. Устойчив к вирусу огуречной мозаики, мучнистой росе и фузариозному увяданию, холодостоек, теневынослив. Урожайность 12-12,5 кг/кв.м.</t>
  </si>
  <si>
    <t>4607015181906</t>
  </si>
  <si>
    <t>Огурец Ангел F1 0.3г (Седек)</t>
  </si>
  <si>
    <t>Среднеспелый (50-55 дней) пчелоопыляемый гибрид для открытого грунта и пленочных укрытий. Растение среднерослое, преимущественно женского типа цветения. Корнишоны короткие, выравненные, редкобугорчатые, светло-зеленые со светлыми полосками до 2/3 плода, белошипые, длиной 8-10 см, отличного вкуса, без горечи.</t>
  </si>
  <si>
    <t>4690368025300</t>
  </si>
  <si>
    <t>Огурец Балконное Чудо 0,2 гр. (Седек)</t>
  </si>
  <si>
    <t>Среднеспелый (50-55 дней) партенокарпический гибрид для теплиц и пленочных укрытий. Растение среднерослое, слабоплетистое, с пучковым расположением завязей, до 3-4 зеленцов в узле. Плоды гладкие, зеленые, длиной 8-10 см, массой 80 г, ароматные, сладкие, хрустящие. Урожайность 8-9 кг/м².</t>
  </si>
  <si>
    <t>4690368031424</t>
  </si>
  <si>
    <t>Огурец Белая гвардия F1 (Седек)</t>
  </si>
  <si>
    <t>Среднеспелый (50-55 дней) партенокарпический гибрид для выращивания в теплицах и пленочных укрытиях. Растение индетерминантное, среднеплетистое, женского типа цветения. Зеленцы цилиндрические белой окраски, с легким салатовым оттенком, с редким расположением бугорков, длиной 18-22 см, массой 140-170 г, плотные, ароматные, без горечи. Урожайность в плёночной теплице 11,0-12,5 кг/м2. Ценность гибрида: устойчивость к вирусу огуречной мозаики, мучнистой росе, кладоспориозу, выносливость к пониженным температурам, обильное и продолжительное плодоношение. Назначение универсальное. Придаст пикантность и разнообразие Вашим салатам и консервам.</t>
  </si>
  <si>
    <t>4607015182088</t>
  </si>
  <si>
    <t>Огурец Борис F1 0,3 гр.Седек)</t>
  </si>
  <si>
    <t>реднеранний (46-48 дней) пчелоопыляемый гибрид для открытого грунта. Растение сильнорослое, преимущественно с женским типом цветения. Зеленцы короткие, цилиндрические, крупнобугорчатые, темно-зеленые со светло-зелеными полосками, с белым опушением, длиной 8-10 см, плотные, сочные, хрустящие, не перерастают, не желтеют и не образуют пустот. Урожайность 6,5-7,3 кг/м²</t>
  </si>
  <si>
    <t>4607015182200</t>
  </si>
  <si>
    <t>Огурец Весна F1 0.2 гр (Седек)</t>
  </si>
  <si>
    <t>Партенокарпический раннеспелый (37-43 дня) гибрид. Растение среднерослое, средневетвистое, с женским типом цветения и пучковым расположением завязей. Зеленцы короткие, цилиндрические, слабобугорчатые, зеленые с коричневым опушением, длиной 7-8 см, массой 65-80 граммов, отличного сладкого вкуса, без горечи.</t>
  </si>
  <si>
    <t>4690368035453</t>
  </si>
  <si>
    <t>Огурец Женские пальчики 0,2 гр. (Седек)</t>
  </si>
  <si>
    <t>Раннеспелый (38-45 дней) партенокарпический гибрид для открытого грунта и пленочных теплиц. Растение среднерослое, среднеплетистое, в каждом узле образуется по1-2 завязи.  Зеленцы короткие, цилиндрические, среднебугорчатые, тёмно-зелёные, массой 80-90 г, хрустящие, ароматные, имеют приятный вкус без горечи. Товарная урожайность 14,5-15,5 кг/м2. Ценность гибрида: устойчивость к вирусу огуречной мозаики, кладоспориозу, мучнистой росе, дружная отдача урожая. Рекомендуется для употребления в свежем виде.</t>
  </si>
  <si>
    <t>4690368014496</t>
  </si>
  <si>
    <t>Огурец Карлик F1 0,2 гр (Сед)</t>
  </si>
  <si>
    <t>Раннеспелый (40-45 дней) партенокарпический  гибрид для открытого грунта и пленочных укрытий. Растение среднерослое, преимущественно женского типа цветения. Зеленцы короткие, цилиндрические, темно-зеленого цвета, с короткими полосами, бугорки среднего размера, опущение белое, средней плотности, длиной 6-8 см, массой 80-90 г. Урожайность 10-12 кг/м².</t>
  </si>
  <si>
    <t>4607015182682</t>
  </si>
  <si>
    <t>Огурец Китайский плетистый 0,5 гр  (Седек)</t>
  </si>
  <si>
    <t>Позднеспелый (55-70 дней) пчелоопыляемый сорт для открытого грунта. Растение длинноплетистое, средневетвистое, смешанного типа цветения. Зеленцы цилиндрические, бугорчатые, зеленые с восковым налетом, черношипые, длиной 10-12 см, массой 100-130 г. Ценность сорта: устойчивость к ложной мучнистой росе и пониженным температурам, стабильная урожайность, товарность и засолочные качества.</t>
  </si>
  <si>
    <t>4690368007559</t>
  </si>
  <si>
    <t>Огурец Коленька 0,3 гр. (Седек)</t>
  </si>
  <si>
    <t>Раннеспелый (43-48 дней) пчелоопыляемый сорт для открытого грунта. Растение индетерминантное, среднерослое, средневетвистое, со смешанным цветением. Зеленцы цилиндрические, слаборебристые, зеленые со средними светлыми полосками на 1/3 плода, редко- и крупнобугорчатые, белошипые, длиной 9-13 см, массой 75-90 г, сладкие с сильным ароматом. Урожайность 3,5-5,2 кг/м2.</t>
  </si>
  <si>
    <t>4690368025386</t>
  </si>
  <si>
    <t>Огурец Королевские пальчики F1 0.2 гр  (Седек)</t>
  </si>
  <si>
    <t>Среднеранний (45-50 дней) партенокарпический гибрид для выращивания в весенне-летний  и летне-осенний  период в теплицах. Растение высокорослое, среднеплетистое, с женским типом цветения. Зеленцы цилиндрические, среднебугорчатые, темно-зеленые, длиной 16-18 см, массой 150-180 г, плотные, хрустящие, без горечи. Урожайность 12,5-14,5 кг/м2. Ценность гибрида: устойчивость к мучнистой росе, выносливость к пониженным температурам, обильное и продолжительное плодоношение, подходит для транспортировки. Назначение универсальное.</t>
  </si>
  <si>
    <t>4690368014847</t>
  </si>
  <si>
    <t>Огурец Крошка Сын (Седек)</t>
  </si>
  <si>
    <t>Раннеспелый партенокарпический гибрид. От полных всходов до созревания 40-45 дней. Растение индетерминантное, сильноветвистое, женского типа цветения, с пучковым образованием завязей. Устойчив к основным болезням огурца. Плоды цилиндрические, средне-бугорчатые, темно-зеленые, вкус отличный без горечи, опушение белое. Длинна плода 8-10, масса 70-90 гр.</t>
  </si>
  <si>
    <t>4690368009461</t>
  </si>
  <si>
    <t>Огурец Куколка 0,2 гр. (Седек)</t>
  </si>
  <si>
    <t>Раннеспелый (40-45 дней) партенокарпический гибрид для открытого грунта и плёночных укрытий. Растение сильнорослое, плетистое, с букетным плодообразованием, в каждом узле формируется по 3-5 завязей. Зеленцы цилиндрические, тёмно-зелёные, крупно- и частобугорчатые, длиной 9-10 см, хрустящие, сладкие. Гибрид устойчив к кладоспориозу, огуречной мозаике, настоящей и ложной мучнистой росе, зеленцы выравненные, имеют высокие товарные качества. Транспортабельный. Предназначен для употребления в свежем виде, маринования и засолки. Урожайность в пленочных теплицах 12-15 кг/м2.</t>
  </si>
  <si>
    <t>4607015187731</t>
  </si>
  <si>
    <t>Огурец Мадмуазель F1 0,3 гр (Сед)</t>
  </si>
  <si>
    <t>Раннеспелый (42-46 дней) пчелоопыляемый гибрид для выращивания в открытом грунте и в теплице. Растение сильнорослое, средневетвистое, преимущественно женского типа цветения и пучковым формированием завязей. Зеленцы короткие, цилиндрические, крупнобугорчатые, зеленые, белошипые, длиной 9-11 см, массой до 90 г, не перерастают и не желтеют. Ценность гибрида: устойчивость к оливковой пятнистости, настоящей и ложной мучнистой росе, сочетание скороспелости, дружной отдачи урожая, устойчивости к основным заболеваниям.</t>
  </si>
  <si>
    <t>4607116267912</t>
  </si>
  <si>
    <t>Огурец Малыш (Седек)</t>
  </si>
  <si>
    <t>Скороспелый (41-43 дня) пчелоопыляемый сорт для открытого грунта. Растение кустовое, компактное, слабоветвистое, слабооблиственное. Длина главной плети 35-45 см. Зеленцы эллипсовидные, редко- и крупнобугорчатые, темно-зеленые с белыми полосами, длиной 6-8 см, массой 80-90 г. Вкусовые качества высокие. Ценность сорта: раннеспелость, дружная отдача урожая, позволяющая производить уборку в 2-3 сбора, высокая товарность. Рекомендуется для употребления в свежем виде, для засолки и консервирования.</t>
  </si>
  <si>
    <t>4607149404704</t>
  </si>
  <si>
    <t>Огурец Мизер (Седек)</t>
  </si>
  <si>
    <t>Среднеранний (45-55 дней) пчелоопыляемый гибрид. Растение мощное, сильнорослое, среднеплетистое, преимущественно женского типа цветения. Зеленцы короткие, цилиндрические, часто- и мелкобугорчатые,  темно-зеленые, белошипые, плотные, хрустящие. Длина плода 6-8 см.</t>
  </si>
  <si>
    <t>4607015187793</t>
  </si>
  <si>
    <t>Огурец Микрон 0,5г  (Седек)</t>
  </si>
  <si>
    <t>Раннеспелый (38-45 дней) пчелоопыляемый сорт. Растение среднерослое, среднеплетистое. Зеленцы короткие, эллипсовидные, крупнобугорчатые, зеленые, длиной 6-8 см, крепкие, хрустящие, ароматные, не перерастают.</t>
  </si>
  <si>
    <t>4690368014502</t>
  </si>
  <si>
    <t>Огурец Моя Симпатия F1 0,2 гр. (Седек)</t>
  </si>
  <si>
    <t>Среднеранний (48-55 дней) партенокарпический гибрид. Растение сильнорослое, слабоветвистое, женского типа цветения. В пазухе листа формируется преимущественно 3-4 завязи. Зеленцы короткие, цилиндрические, темно-зеленые, среднебугорчатые, с белым опушением, ароматные, сладкого вкуса. Длина 6-8 см, масса 80-95г.</t>
  </si>
  <si>
    <t>4690368014946</t>
  </si>
  <si>
    <t>Огурец Пальцы Паганини (Седек)</t>
  </si>
  <si>
    <t>Раннеспелый (43-45 дней) партенокарпический гибрид для открытого  грунта и пленочных укрытий. Растение сильнорослое, плетистое. В узле формируется по 3 завязи. Зеленцы темно-зеленые, цилиндрические, крупно-бугорчатые, со средним расположением бугорков, длиной 12-14 см, плотные, сочные, хрустящие, ароматные.</t>
  </si>
  <si>
    <t>4607015187922</t>
  </si>
  <si>
    <t>Огурец Патти F1 0.2 гр  (Седек) 199658813</t>
  </si>
  <si>
    <t>Партенокарпический среднеранний (40-45 дней) гибрид. Растение сильнорослое, среднеплетистое, с женским типом цветения и пучковым расположением завязей в узле. Зеленцы короткие, цилиндрические, часто- и мелкобугорчатые, темно-зеленые с короткими полосами, с белым опушением, с маленькими семенными камерами, длиной 10-11,5 см, массой 60-90 граммов, хрустящие, без пустот, без горечи.</t>
  </si>
  <si>
    <t>4607116267424</t>
  </si>
  <si>
    <t>Огурец Пекинский Вкусный F1 0.2гр (Седек)</t>
  </si>
  <si>
    <t>Раннеспелый (46-48 дней) пчелоопыляемый гибрид. Растение сильнорослое, мощное. Зеленцы удлиненно-цилиндрические, с вытянутым основанием, блестящие, зеленые, бугорчатые, длиной до 30-40 см, с тонкой кожицей, сладкие и ароматные, с прекрасными вкусовыми качествами.</t>
  </si>
  <si>
    <t>4690368023665</t>
  </si>
  <si>
    <t>Огурец Подарок Востока 0,2 г (Седек)</t>
  </si>
  <si>
    <t>Среднеспелый (50-55 дней) партенокарпический гибрид. Растение среднерослое, слабоплетистое, открытое с пучковым плодообразованием, до 4-5 зеленцов в узле. Плоды укороченно-цилиндрические, гладкие, зеленые с небольшим, едва заметным опушением, ароматные, сладкие, хрустящие. Длина 8-10 см, диаметр 4 см, масса 85г.</t>
  </si>
  <si>
    <t>4690368044981</t>
  </si>
  <si>
    <t>Огурец Самкон 0,2 гр. (Седек)</t>
  </si>
  <si>
    <t>Среднеранний (45-48 дней) партенокарпический гибрид для выращивания в теплицах, парниках и в открытом грунте. Растение сильнорослое, плетистое. В узле 1-2 плода. Зеленцы цилиндрические, длиной 10-13 см, массой 90-120 г, равномерно окрашенные, темно-зеленые, с очень крупными и частыми бугорками, плотные, без пустот и горечи, ароматные, а главное, особенно хороши для засолки и консервации. Урожайность 17,0-18,0 кг/м2. Ценность гибрида: устойчивость к основным болезням, привлекательный внешний вид, теневыносливость, пригодность к длительной транспортировке и хранению. Назначение универсальное.</t>
  </si>
  <si>
    <t>4690368045001</t>
  </si>
  <si>
    <t>Огурец Самкон 10 0,2 гр. (Седек)</t>
  </si>
  <si>
    <t>Раннеспелый (40-45 дней) партенокарпический гибрид для пленочных теплиц и открытого грунта. Растение мощное, плетистое, 100 % женского типа цветения. Зеленцы короткие, цилиндрические, крупнобугорчатые, темно-зеленые, длиной 8-10 см, плотные, хрустящие, ароматные. Ценность гибрида: устойчивость к корневым гнилям, выносливость к ложной мучнистой росе, высокая ранняя урожайность, отличный вкус малосольных и консервированных огурчиков. Назначение универсальное.</t>
  </si>
  <si>
    <t>4690368045018</t>
  </si>
  <si>
    <t>Огурец Самкон 11 0,2 гр. (Седек)</t>
  </si>
  <si>
    <t>Ранний (43-45 дней) партенокарпический гибрид для выращивания в теплицах, парниках и в открытом грунте. Растение сильнорослое, плетистое, женского типа цветения. Корнишоны классические, цилиндрические, длиной 11-12 см, массой 90-120 г, равномерно окрашенные, темно-зеленые, крупнобугорчатые, плотные, без пустот, сладкие, ароматные. Урожайность 18,0 кг/м2. Ценность гибрида: устойчивость к комплексу болезней, высокая урожайность, а главное, всегда ровные огурчики, прекрасные в консервах. Назначение универсальное.</t>
  </si>
  <si>
    <t>4690368045025</t>
  </si>
  <si>
    <t>Огурец Самкон 12 0,2 гр. (Седек)</t>
  </si>
  <si>
    <t>Раннеспелый (40-45 дней) партенокарпический гибрид для теплиц и открытого грунта. Растение длинноплетистое, с женским типом цветения. Зеленцы цилиндрические,   темно-зеленые, с крупными бугорками, длиной 12-13 см, массой 100-120 г, плотные, без пустот, и без горечи. Урожайность 12,0-14,0 кг/м2. Ценность гибрида: устойчивость к аскохитозу и мучнистой росе, стрессоустойчивость, обильное и продолжительное плодоношение. Рекомендуется для употребления в свежем виде, засолки и консервирования.</t>
  </si>
  <si>
    <t>4690368045032</t>
  </si>
  <si>
    <t>Огурец Самкон 13 0,2 гр. (Седек)</t>
  </si>
  <si>
    <t>Среднеспелый (52-57 дней) партенокарпический гибрид для выращивания в теплицах и в открытом грунте. Растение мощное, среднеплетистое, с женским типом цветения. Зеленцы цилиндрические, крупнобугорчатые, темно-зеленые с короткими полосками, длиной 13-16 см, массой 150-180 г, сладкие, сочные, ароматные, без горечи и без пустот. Урожайность при выращивании в теплицах 14-16 кг/м2. Ценность гибрида: устойчивость к мучнистой росе и аскохитозу, теневыносливость. Рекомендуется для использования в свежем виде, маринования и консервирования кружочками в составе овощных ассорти.</t>
  </si>
  <si>
    <t>4690368045049</t>
  </si>
  <si>
    <t>Огурец Самкон 14 0,2 гр. (Седек)</t>
  </si>
  <si>
    <t>Среднеранний (45-50 дней) партенокарпический гибрид для выращивания в теплицах и открытом грунте. Зеленцы цилиндрические, темно-зеленые, равномерно окрашены, с бугорками среднего размера, длиной 14-18 см, массой 150-180 г, плотные, с нежной сладкой мякотью и приятным ароматом. Урожайность под плёнкой 11,0-13,0 кг/м2. Ценность гибрида: устойчивость к мучнистой росе и аскохитозу, стрессоустойчивость, обильное и продолжительное плодоношение, длительное хранение. Назначение универсальное. Отлично подходят для засола и консервации кусочками, как отдельно, так и в составе овощных ассорти.</t>
  </si>
  <si>
    <t>4690368045056</t>
  </si>
  <si>
    <t>Огурец Самкон 15 0,2 гр. (Седек)</t>
  </si>
  <si>
    <t>Раннеспелый (43-46 дней) партенокарпический гибрид для выращивания в теплицах, парниках и в открытом грунте на шпалерах. Растение сильнорослое, плетистое, со 100% женским типом цветения. Зеленцы цилиндрические, длиной 14-16 см, массой 80-120 г, равномерно окрашенные, темно-зеленые, с крупными и частыми бугорками. Мякоть плотная, хрустящая, с малым количеством семян, без горечи. Ровные огурчики подойдут для консервации кружочками в салатах и смесях с разными овощами. Урожайность 18,0 кг/м2. Ценность гибрида: устойчивость к болезням, высокая продуктивность и технологичность, стрессоустойчивость, пригодность к транспортировке и хранению. Назначение универсальное.</t>
  </si>
  <si>
    <t>4690368044998</t>
  </si>
  <si>
    <t>Огурец Самкон 9 0,2 гр. (Седек)</t>
  </si>
  <si>
    <t>Раннеспелый (40-45 дней) партенокарпический гибрид для открытого грунта и весенних пленочных теплиц. Растение среднерослое, сильноветвистое, женского типа цветения. В пазухе листа формируется 3-4 завязи. Зеленцы короткие 8-10 см длиной, цилиндрические, темно-зеленые с короткими полосами, массой 70-90 г с бугорками среднего размера, ароматные и хрустящие, одни из лучших для консервации. Урожайность 10 кг/м2. Ценность гибрида: устойчивость к кладоспориозу, высокая урожайность и товарность плодов. Рекомендуется для употребления в свежем и консервированном виде.</t>
  </si>
  <si>
    <t>4690368045063</t>
  </si>
  <si>
    <t>Огурец Самкон Пчелка 0,2 гр. (Седек)</t>
  </si>
  <si>
    <t>Среднеранний (48-50 дней) пчелоопыляемый гибрид для открытого грунта и пленочных укрытий. Зеленцы короткие, цилиндрические, крупнобугорчатые, темно-зеленые с белыми полосками малыши-коротышки, длиной 6-8 см, не перерастают и не желтеют, плотные, хрустящие, вкусные и ароматные. Урожайность 10 кг/м2. Ценность гибрида: устойчивость к основным болезням, интенсивное плодоношение, высокие технологические и товарные качества. Один из лучших огурцов для любителей консервированных корнишонов и пикулей! Для консервирования корнишонов сборы производят через день, пикулей (3-5 см) – ежедневно.</t>
  </si>
  <si>
    <t>4607015185133</t>
  </si>
  <si>
    <t>Огурец Сын полка F1 0.3гр (Седек)</t>
  </si>
  <si>
    <t>Среднеранний (40-45 дней) пчелоопыляемый гибрид для открытого грунта и пленочных укрытий. Растение среднерослое, средневетвистое, преимущественно женского типа цветения. Зеленцы овальные, редко- и крупнобугорчатые, зеленые с короткими полосками, белошипые, длиной 6-8 см, не перерастают и не желтеют.</t>
  </si>
  <si>
    <t>4690368045148</t>
  </si>
  <si>
    <t>Огурец Троечка 0,2 гр. (Седек)</t>
  </si>
  <si>
    <t>Ранний (43-45 дней) партенокарпический гибрид для выращивания в теплицах, парниках и в открытом грунте. Растение сильнорослое, плетистое, с женским типом цветения. В каждом узле формирует 3-4 огурчика. Зеленцы цилиндрические, равномерно окрашенные ярко-зеленые, крупнобугорчатые, длиной 11-13 см, сладкие, сочные, ароматные. Урожайность 17,0 кг/м2. Ценность гибрида: радует обилием плодов и скороспелостью, теневынослив и стрессоустойчив. Рекомендуется для употребления в свежем виде, хорош в засолке и консервации.</t>
  </si>
  <si>
    <t>4607015185140</t>
  </si>
  <si>
    <t>Огурец Филиппок F1 0.3г  (Седек)</t>
  </si>
  <si>
    <t>Среднеспелый (50-55 дней) пчелоопыляемый гибрид для открытого грунта и пленочных укрытий. Растение сильнорослое, сильноветвистое, преимущественно с женским типом цветения. Зеленцы короткие, цилиндрические, крупнобугорчатые, темно-зеленые с белыми полосками, белошипые, длиной 6-8 см, не перерастают и не желтеют, плотные, хрустящие, с прекрасными вкусовыми качествами и ароматом.</t>
  </si>
  <si>
    <t>4690368012904</t>
  </si>
  <si>
    <t>Огурец Хрустящий Аллигатор 0,2 г (Седек) 182029561</t>
  </si>
  <si>
    <t>Среднеранний (48-55 дней) пчелоопыляемый гибрид для открытого (в теплом климате) и защищенного грунта. Растение сильнорослое, средневетвистое, смешанного типа цветения. В пазухе листа формируется одна завязь. Зеленец удлиненно-цилиндрический, длиной 30-35 см, с длинной шейкой, темно-зеленый, крупно и частобугорчатый, массой 280-310 г, отличного вкуса, сладкий и ароматный. Рекомендуется для употребления в свежем виде и консервирования нарезанными дольками.</t>
  </si>
  <si>
    <t>4607015188189</t>
  </si>
  <si>
    <t>Огурец Чемпион СеДеК 0,2 гр. (Седек)</t>
  </si>
  <si>
    <t>Среднеспелый (45-55 дней) партенокарпический (не требует опыления) гибрид для открытого грунта и пленочных укрытий. Растение среднерослое, слабоплетистое, с женским типом цветения и пучковым (по 2-4) формированием завязей. Зеленцы цилиндрические, крупнобугорчатые, выравненные, темно-зеленые с короткими полосами, длиной 10-12 см, массой 75-110 г, плотные, хрустящие.</t>
  </si>
  <si>
    <t>4690368000338</t>
  </si>
  <si>
    <t>Огурец Чудо рынка F1 0.2г (Седек)</t>
  </si>
  <si>
    <t>Среднеспелый (52-57 дней) партенокарпический гибрид для выращивания в зимних теплицах и в открытом грунте. Растение мощное, среднеплетистое, с женским типом цветения. Зеленцы цилиндрические, средне- и крупнобугорчатые, темно-зеленые с полосками с полосками среднего размера, с белым опушением, длиной 18-20 см, массой 180-200 г,</t>
  </si>
  <si>
    <t>4690368031431</t>
  </si>
  <si>
    <t>Огурец Штабс-Капитан F1 0,2 гр. (Седек)</t>
  </si>
  <si>
    <t>Среднеранний (45-50 дней) пчелоопыляемый гибрид с частичной партенокарпией, для открытого и защищенного грунта. Растение сильнорослое, длинноплетистое. Зеленцы цилиндрические, слегка ребристые, часто- и крупнобугорчатые, белые с зеленоватым оттенком, длиной 30-40 см, с тонкой кожурой, нежным вкусом и ароматом. Ценность гибрида: сочетание отличного вкуса и оригинальной окраски. Назначение салатное. Подходит для засолки и консервирования нарезанными дольками.</t>
  </si>
  <si>
    <t>4690368022453</t>
  </si>
  <si>
    <t>Патиссон Веселые друзья (смесь) 1г (Седек)</t>
  </si>
  <si>
    <t>Смесь раннеспелых (45-50 дней) высокоурожайных сортов. Растения кустовые. Плоды дисковидной формы и различной окраски: белые, желтые, зеленые, светло-зеленые, с необычной «арбузной» рубашкой. Мякоть белая, плотная, хрустящая. Масса товарных плодов 150-250 г. Урожайность 3-4 кг/м². Ценность сортов: устойчивость к мучнистой росе, отличные кулинарные и товарные качества, лежкость. Рекомендуется для использования в домашней кулинарии и цельноплодного консервирования.</t>
  </si>
  <si>
    <t>4607015188226</t>
  </si>
  <si>
    <t>Патиссон Гоша (Седек)</t>
  </si>
  <si>
    <t>Раннеспелый (45-50 дней) сорт. Растение кустовое со слабой степенью ветвления. Плоды дисковидные, по краю слаборебристые, темно-зеленые, массой 0,2-0,5 кг. Мякоть белая, нежная, плотная, сочная. Плоды отличаются высокой товарностью и лежкостью. Сорт устойчив к мучнистой росе. Назначение универсальное. Урожайность 45-55 т/га.</t>
  </si>
  <si>
    <t>4690368005845</t>
  </si>
  <si>
    <t>Патиссон Пятачок (Седек)</t>
  </si>
  <si>
    <t>Раннеспелый (период от полных всходов до первого сбора плодов 50 дней) высокопродуктивный сорт. Растение кустовое, плети короткие, слабоветвистые. Плоды белые, тарельчатой формы, гладкие, массой до 220 г. Устойчив к мучнистой росе и засухе. Урожайность 1,5-2,5 кг/м2. Ценность сорта: высокая урожайность, раннее и дружное формирование плодов, высокие вкусовые качества переработанной продукции. Рекомендуется для домашней кулинарии и консервирования</t>
  </si>
  <si>
    <t>4690368026642</t>
  </si>
  <si>
    <t>Перец Адмирал Колчак F1 0.1г (Седек) 201523683</t>
  </si>
  <si>
    <t>Среднеспелый (115-120 дней) гибрид для выращивания в теплицах, пленочных укрытиях, открытом грунте. Растение среднерослое, высотой 60-80 см. Расположение плодов пониклое. Плоды кубовидные, крупные, в технической спелости - зеленые, в биологической - желтые, гладкие, глянцевые, массой 250-300 г, плотные, сочные, с ярким перечным ароматом, отличного вкуса. Толщина стенки 8-10 мм. Ценность гибрида: обильное и продолжительное плодоношение, устойчивость к комплексу болезней и различным условиям выращивания. Рекомендуется для употребления в свежем виде, домашней кулинарии и консервирования.</t>
  </si>
  <si>
    <t>4690368027434</t>
  </si>
  <si>
    <t>Перец Адмирал Нахимов F1 0.1г (Седек) 201535301</t>
  </si>
  <si>
    <t>Среднеспелый (115-120 дней) гибрид для открытого и защищенного грунта. Растение среднерослое, высотой 80-90 см. Расположение плодов пониклое. Плоды кубовидные, крупные, в технической спелости - зеленые, в биологической - ярко-красные, глянцевые, массой 250-350 г, сочные, отличного вкуса, с ярким перечным ароматом. Толщина стенки 8-9 мм. Урожайность 8-8,5кг/м2. Ценность гибрида: устойчивость к вертициллезному увяданию, вирусу табачной мозаики, вирусу пятнистого увядания томата, высокое содержание сахаров и витаминов, пригодность для длительной транспортировки и хранения. Рекомендуется для употребления в свежем виде, домашней кулинарии, консервирования, замораживания.</t>
  </si>
  <si>
    <t>4690368027427</t>
  </si>
  <si>
    <t>Перец Адмирал Ушаков F1  0.1г (Седек) 201536141</t>
  </si>
  <si>
    <t>Среднеспелый (115-130 дней) гибрид для открытого и защищенного грунта. Растение полураскидистое, высотой 70-80 см. Плоды пониклые, кубовидные, глянцевые, в технической спелости темно-зеленые, в биологической - красные, массой 250-300 г, отличного вкуса, сочные, ароматные. Толщина стенки 7-8 мм. Урожайность 7,5-8,0 кг/м2. Ценность гибрида: устойчивость к вертициллезному увяданию, вирусу табачной мозаики, обильное плодоношение, высокое содержание сахаров и витаминов, пригодность для длительной транспортировки и хранения. Рекомендуется для употребления в свежем виде, кулинарии, консервирования, замораживания.</t>
  </si>
  <si>
    <t>4690368030380</t>
  </si>
  <si>
    <t>Перец Ажур 0,1 гр. (Седек)</t>
  </si>
  <si>
    <t>Среднеспелый (115-120 дней) гибрид. Растение высотой 90-100 см. Плоды пониклые, кубовидные, крупные, в технической спелости темно-зеленые, в биологической - красные, глянцевые, массой 250-350 г, отличного вкуса, с ярким перечным ароматом, высоким содержанием сахаров, витамина С, микроэлементов. Толщина стенки 8-9 мм. Пригоден для длительной транспортировки и хранения. Устойчив к вертициллезному увяданию, вирусу табачной мозаики</t>
  </si>
  <si>
    <t>4690368033800</t>
  </si>
  <si>
    <t>Перец Алексий 0,1 гр. (Седек)</t>
  </si>
  <si>
    <t>Среднеранний (110-115 дней) сорт для выращивания в открытом грунте и в пленочных теплицах. Растение компактное, полуштамбовое, высотой 50-60 см. На одном растении одновременно могут формироваться до 15 плодов. Плоды пониклые конусовидные, гладкие, глянцевые, в технической спелости светло-желтые, в биологической – красные, массой 180-200 г, с толщиной стенки 6-7 мм, и ярким перечным ароматом.</t>
  </si>
  <si>
    <t>4690368000307</t>
  </si>
  <si>
    <t>Перец Аллигатор (Седек)</t>
  </si>
  <si>
    <t>Среднеспелый (от всходов до созревания плодов 110-120 дней), высокоурожайный, крупноплодный сорт для защищенного грунта. Растение высокорослое, высотой до 90 см, с обильным и продолжительным плодоношением. На растении практически одновременно формируются и вызревают 8-12 плодов. Плоды удлиненно-призмовидные, в технической спелости – темно-зеленые, в биологической – красные, длиной 20-25 см, массой 200-300 г, сладкие, сочные и вкусные. Толщина стенки 6-8 мм. Ценность сорта: высокая урожайность, крупноплодность. Рекомендуется для употребления в свежем виде, домашней кулинарии и консервирования.</t>
  </si>
  <si>
    <t>4607116267455</t>
  </si>
  <si>
    <t>Перец Аннушка 0,2 гр.(Седек)</t>
  </si>
  <si>
    <t>Раннеспелый (109-113 дней) гибрид для открытого грунта и пленочных укрытий. Растение высокорослое, высотой 60-70 см. Плоды крупные, призмовидные, в технической спелости зеленые, в биологической – густо-красные, массой 170-220 г, мясистые. Толщина стенки 5-7 мм. Одновременно на растении созревает 10-15 сочных, сладких и очень вкусных плодов. Урожайность 7 кг/м2. Ценность гибрида: крупноплодность, обильное и дружное формирование урожая. Рекомендуется для употребления в свежем виде и кулинарной переработки.</t>
  </si>
  <si>
    <t>4607015183146</t>
  </si>
  <si>
    <t>Перец Венгерский желтый острый Е(Седек)</t>
  </si>
  <si>
    <t>Раннеспелый (85-90 дней) сорт для открытого грунта и пленочных укрытий. Растение компактное, низкорослое, высотой 40-45 см. Плоды узкоконусовидные, гладкие,  в технической спелости желтые, в биологической – красные, острого вкуса, массой 35-40 г, толщина стенки 4 мм. Урожайность 6-6,4 кг/м2. Ценность сорта: холодостойкость, продолжительное и обильное плодоношение. Рекомендуется для употребления в свежем виде (для любителей острой пищи), приготовления приправ и консервирования.</t>
  </si>
  <si>
    <t>4690368030397</t>
  </si>
  <si>
    <t>Перец Генерал Врангель 0,1 гр. (Седек) 315140706</t>
  </si>
  <si>
    <t>Среднеспелый (115-130 дней) гибрид для открытого и защищенного грунта. Растение мощное, с хорошо развитым листовым аппаратом, высотой 1,5-2,0 м. Плоды пониклые, необычной формы, удлиненно-конические, глянцевые, в технической спелости ярко-зеленые, в биологической – красные, длиной 20-23 см, массой 120-180 г, сочные, с ярким перечным ароматом. Толщина стенки 5-6 мм.</t>
  </si>
  <si>
    <t>4690368027441</t>
  </si>
  <si>
    <t>Перец Генерал Деникин 0,1 гр. (Седек) 201533394</t>
  </si>
  <si>
    <t>Среднеспелый (115-130 дней) гибрид для открытого и защищенного грунта. Растение мощное, полураскидистое, высотой 1-1,5 м. Плоды пониклые, удлиненно-призмовидные, глянцевые, в технической спелости темно-зеленые, в биологической - ярко-красные, длиной 17-20 см, массой 180-200 г, сочные, с ярким перечным ароматом. Толщина стенки 6-7 мм. Урожайность 6,5-7 кг/м2. Ценность гибрида: устойчивость к вертициллезному увяданию, вирусу табачной мозаики, обильное плодоношение, оригинальная форма плодов. Рекомендуется для употребления в свежем виде, консервирования и кулинарной переработки.</t>
  </si>
  <si>
    <t>4607015183481</t>
  </si>
  <si>
    <t>Перец Джульетта (Седек)</t>
  </si>
  <si>
    <t>Раннеспелый (105-110 дней) гибрид для выращивания в защищенном и открытом грунте. Растение компактное, высотой 40-45 см. Плоды крупные, ширококонусовидные, массой 150-200 г, в технической спелости зеленые, в биологической – насыщенно-красные. Толщина стенки 7-9 мм. Ценность гибрида: высокая урожайность, куст сплошь «усыпан» крупными плодами, отличные вкусовые и товарные качества. Подходит для крупнотоварного производства. Рекомендуется для употребления в свежем виде и всех видов кулинарной переработки.</t>
  </si>
  <si>
    <t>4690368024020</t>
  </si>
  <si>
    <t>Перец Звезда Востока F1 0.1 гр (Седек) 201531181</t>
  </si>
  <si>
    <t>Раннеспелый (105-110 дней) гибрид для открытого и защищенного грунта. Растение среднерослое, полураскидистое. Плоды пониклые, кубовидные, глянцевые, в технической спелости кремово-белые, с переходом при созревании в кремово-красный цвет, в биологической спелости - красные, массой 150-180 г, сочные, отличного вкуса. Толщина стенки 6-8 мм. Урожайность 7,0-7,5 кг/м2. Ценность гибрида: устойчивость к вирусу табачной мозаики, оригинальный переход цвета и вкуса, позволяющий собирать плоды на разных этапах созревания, пригодность для длительной транспортировки. Назначение универсальное.</t>
  </si>
  <si>
    <t>4690368026260</t>
  </si>
  <si>
    <t>Перец Звезда Востока Желтая Гигантская 0,1 гр. (Седек) 201527954</t>
  </si>
  <si>
    <t>Среднеспелый (120-130 дней) крупноплодный гибрид для выращивания в открытом и защищенном грунте. Растение  высотой 70-80 см, открытого типа, с крупными листьями, формирует одновременно 7-10 плодов. Плоды кубовидно-призмовидные, в технической спелости – темно-зеленые, в биологической – ярко-красные,  длиной 18-20 см, массой 300-400 г, сочные, сладкие. Толщина стенки 0,9-1,1 см. Урожайность 8-8,5 кг/м2. Ценность гибрида: устойчивость к комплексу болезней, стрессоустойчивость, высокие вкусовые качества плодов, транспортабельность, пригодность к хранению.</t>
  </si>
  <si>
    <t>4607015183603</t>
  </si>
  <si>
    <t>Перец Звезда Востока Золотистая 0,1 гр. (Седек) 201530692</t>
  </si>
  <si>
    <t>Раннеспелый (105-110 дней) высокоурожайный крупноплодный гибрид для открытого и защищенного грунта. Растение мощное, полураскидистое, среднерослое, высотой 60-70 см. Плоды пониклые, призмовидные, гладкие, сильноглянцевые, в технической спелости зеленые, в биологической - ярко-желтые, массой 160-240 г, толщина стенки 8-10 мм, сочные и сладкие. Ценность гибрида: устойчивость к комплексу болезней, высокое содержание сахаров и витаминов, отличные вкусовые и товарные свойства плодов, хорошая транспортабельность. Рекомендуется для употребления в свежем виде и для кулинарной переработки.</t>
  </si>
  <si>
    <t>4607015183689</t>
  </si>
  <si>
    <t>Перец Звезда Востока Красная (Седек)</t>
  </si>
  <si>
    <t>Раннеспелый (90-100 дней) высокоурожайный гибрид. Растение индетерминантное, при выращивании в открытом грунте высота 70-80 см, в пленочной теплице без формирования куста 0,8-1,2 м. Плодоношение очень обильное и продолжительное. Плоды пониклые, кубовидные, в технической спелости – зелёные, в биологической – красные, 3-4-х камерные, массой 260-300 г. Толщина стенки 8-10 мм. Вкус насыщенный, с нежным ароматом</t>
  </si>
  <si>
    <t>4690368028660</t>
  </si>
  <si>
    <t>Перец Золотой Лапоть 0,1г (Сед)</t>
  </si>
  <si>
    <t>Среднеранний сорт сладкого перца с очень крупными толстостенными плодами. Название «Золотой лапоть» точно характеризует цвет и впечатляющие размеры этих гигантов. 
Период от всходов до технической спелости плодов 120 - 125 дней. Растение мощное, раскидистое, высотой 80 - 85 см. Плоды кубовидно - цилиндрические, 2 - 4 камерные, массой 240 - 260 грамм. В фазе технической спелости - зеленые, в биологической - желто - оранжевые. Толщина мякоти околоплодник 7 - 9 мм. Рекомендуется для употребления в свежем виде и домашней кулинарии. Сорт устойчив к вертициллезному увяданию, рекомендуется для выращивания на приусадебных участках и в пленочных теплицах. Урожайность высокая - 5 - 6 кг/м2.</t>
  </si>
  <si>
    <t>4607015183849</t>
  </si>
  <si>
    <t>Перец Игрок 0,2 гр  (Седек)</t>
  </si>
  <si>
    <t>Раннеспелый (100-105 дней) высокоурожайный сорт для теплиц, тоннелей, открытого грунта. Растение полураскидистое, среднерослое, высотой 45-50 см. Плоды пониклые, крупные, кубовидные, среднеребристые, глянцевые, в технической спелости светло-зеленые, в биологической – насыщенно-красные, массой 130-150 г, толщина стенки 9-12 мм. Вкусовые качества очень высокие. Урожайность 5-6 кг/м². Ценность сорта: устойчивость к неблагоприятным условиям выращивания и изменениям температуры, обильное плодоношение, дружная отдача раннего урожая.</t>
  </si>
  <si>
    <t>4607015183962</t>
  </si>
  <si>
    <t>Перец Калифорния Вондер Ред 0,2 гр (Сед)</t>
  </si>
  <si>
    <t>Среднеранний (90-100 дней) сорт для открытого и закрытого грунта. Растение компактное, высотой 70-80 см. Плоды крупные, кубовидные, гладкие, в технической спелости зеленые, в биологической – красные, массой 90-120 г, очень сочного и сладкого вкуса. Толщина стенки 6-8 мм. Ценность сорта: устойчивость к вирусу табачной мозаики, высокая урожайность и товарность плодов. Рекомендуется для употребления в свежем виде и для кулинарной переработки.</t>
  </si>
  <si>
    <t>4607149404865</t>
  </si>
  <si>
    <t>Перец Красный слон 0,1 гр. (Седек)</t>
  </si>
  <si>
    <t>Среднеспелый (110-115 дней) сорт для открытого грунта и пленочных укрытий. Растение мощное, полураскидистое,  высотой 80-90 см. Плоды пониклые, удлиненно-конусовидные, сильноглянцевые, в технической спелости зеленые, в биологической – темно-красные, длиной 22 см, массой 130-150 (до 200) г, толщина стенки 4-5 мм, с нежным перечным ароматом. Урожайность 6-7 кг/м².</t>
  </si>
  <si>
    <t>4607015184167</t>
  </si>
  <si>
    <t>Перец Кубок победителю (Седек)</t>
  </si>
  <si>
    <t>Среднеспелый (111-115 дней) гибрид для открытого грунта и пленочных укрытий. Растение полураскидистое, среднерослое, высотой 50-60 см. Плоды пониклые, крупные, кубовидные, 3-4-х камерные, в технической спелости темно-зеленые, в биологической – красные, массой 150-200 (до 300) г, с нежной и сочной мякотью. Толщина стенки 6-7 мм. Урожайность 6,2 кг/м². Ценность гибрида: сочетание крупноплодности и высокой продуктивности (до 12 крупных плодов на кусте), превосходные вкусовые и технологические качества. Рекомендуется для употребления в свежем виде и всех видов кулинарной переработки.</t>
  </si>
  <si>
    <t>4690368014960</t>
  </si>
  <si>
    <t>Перец Мой генерал F1 0,1 гр (Седек)</t>
  </si>
  <si>
    <t>Позднеспелый (130-150 дней) гибрид для открытого и защищенного грунта. Растение среднерослое, высотой 50-60 см. Плоды кубовидные и кубовидно-призмовидные, слегка ребристые, глянцевые, массой 250-300 г, в технической спелости темно-зеленые, в биологической – ярко-красные. Мякоть плотная, сочная, сладкая. Толщина стенки 6-8 мм. Ценность гибрида: устойчивость к вирусу табачной мозаики, вершинной гнили, выносливость к колебаниям температуры, высокие товарные качества плодов.</t>
  </si>
  <si>
    <t>4607015188394</t>
  </si>
  <si>
    <t>Перец Новогогошары 0,2 гр. (Седек)</t>
  </si>
  <si>
    <t>Среднеранний (109-113 дней) сорт для открытого грунта и пленочных теплиц. Растение полураскидистое, штамбовое, высотой 45-50 см. Плоды крупные, округло-плоские (томатовидные), слегка ребристые, в технической спелости тёмно-зеленые, в биологической – красные, массой 90-140 г, толщина стенки 8-10 мм, с сочной и сладкой мякотью. Вкусовые качества высокие. Ценность сорта: интенсивное плодоношение, пригодность для продолжительной транспортировки. Рекомендуется для употребления в свежем виде, для цельноплодного консервирования и фаршировки.</t>
  </si>
  <si>
    <t>4690368036474</t>
  </si>
  <si>
    <t>Перец Новогогошары Оранжевые 0,1 гр. (Седек)</t>
  </si>
  <si>
    <t>Среднеспелый (110-115 дней) сорт для открытого грунта и пленочных укрытий. Растение среднерослое, компактное, высотой 40-50 см. Плоды округло-плоские, томатовидные, слегка ребристые, глянцевые, в технической спелости ярко-зеленые, в биологической - жёлто-оранжевые, массой 80-120 г. Толщина стенки 6-8 мм, сочные, сладкие, ароматные. Урожайность 8 кг/м2. Ценность сорта: устойчивость к вертициллезному увяданию, неблагоприятным погодным условиям, высокое содержание витамина С. Рекомендуется для употребления в свежем виде, консервации, фаршировки.</t>
  </si>
  <si>
    <t>4607015185225</t>
  </si>
  <si>
    <t>Перец Самородок 0,2 гр. (Седек)</t>
  </si>
  <si>
    <t>Среднеспелый (110-115 дней) гибрид, один из лучших по вкусовым качествам и аромату. Растение раскидистое, высотой до 60 см. Плоды кубовидные, гладкие, слегка ребристые, глянцевые, 4-6 камерные, массой  200-450 г, окраска в технической спелости зеленая, в биологической – темно-красная. Толщина стенки 7-8 мм.</t>
  </si>
  <si>
    <t>4690368026277</t>
  </si>
  <si>
    <t>Перец Спрут Новогодний полуострый 0,05 гр (Седек)  288124126</t>
  </si>
  <si>
    <t>Среднепоздний (120-130 дней) гибрид для теплиц и палисадников. В теплицах при интенсивном минеральном питании, в условиях достаточного тепла и света его можно выращивать как мощное огромное дерево, вырастающее в течение 6 месяцев до 3-5 метров. Плоды многочисленные, 300-500 штук одновременно, по форме напоминающие колокольчики, насыщенного красного цвета, массой 20-25 г, среднеострого вкуса. Ценность гибрида: высокая декоративность, устойчивость к заболеваниям.</t>
  </si>
  <si>
    <t>4690368030441</t>
  </si>
  <si>
    <t>Перец Фельдмаршал Суворов 0,1 гр. (Седек) 201534162</t>
  </si>
  <si>
    <t>Среднеспелый (120-130 дней) гибрид для теплиц и пленочных укрытий. Растение высотой 70-80 см, среднеоблиственное, одновременно формирует на кусте 8-10 крупных красивых плодов. Плоды кубовидно-призмовидные, в технической спелости - темно-зеленые, в биологической - ярко-желтые, длиной 18-20 см, массой 350-400 г, сочные, сладкие. Толщина стенки 1 см. Урожайность 8-9 кг/м2. Ценность гибрида: устойчивость к комплексу болезней, стрессоустойчивость, высокое содержание витамина С и каротина, транспортабельность, пригодность к продолжительному хранению. Отличный продукт для фермерских продаж. Рекомендуется для употребления в свежем виде и переработки.</t>
  </si>
  <si>
    <t>4607116267509</t>
  </si>
  <si>
    <t>Перец Царица F1 0.1гр (Седек)</t>
  </si>
  <si>
    <t>Раннеспелый (105-110 дней) гибрид для открытого грунта и пленочных укрытий. Растение компактное среднерослое, высотой 65-75 см. Плоды крупные, кубовидные, в технической спелости зеленые, в биологической – темно-красные, массой 150-200 г, толщина стенки 8-12 мм, сладкого, сочного вкуса. На растении одновременно созревает 10-12 плодов. Урожайность 7-8 кг/м². Ценность гибрида: устойчивость к основным заболеваниям, обильное плодоношение, отличные вкусовые и товарные качества. Назначение универсальное.</t>
  </si>
  <si>
    <t>4607149406241</t>
  </si>
  <si>
    <t>Перец Язычок тещи (Сед)</t>
  </si>
  <si>
    <t>Среднеспелый (115-120 дней) сорт для открытого грунта и пленочных укрытий. Растение полураскидистое, высотой 65-70 см. На растении одновременно формируются и созревают 20-30 плодов. Плоды пониклые удлиненно-конические, массой 40-50 г, в технической спелости зеленые, в биологической - ярко-красные, глянцевые, при созревании сладкого вкуса. Толщина стенки 2-3 мм. Урожайность 1,5-2 кг/м2. Ценность сорта: высокая продуктивность и отличные товарные качества. Предназначен для употребления в свежем виде, цельноплодного консервирования, сушки и переработки на порошок (паприку).</t>
  </si>
  <si>
    <t>4607015188714</t>
  </si>
  <si>
    <t>Петрушка Титан 2 гр. (Сед)</t>
  </si>
  <si>
    <t>Среднеспелый листовой (период от полных всходов до начала технической спелости 80-95 дней) сорт. Розетка листьев сильная, полувертикальная, с темно-зелеными, мелко изрезанными листьями. Вкусовые качества и ароматичность хорошие. Сорт ценится своей способностью обеспечивать 2-3 срезки в течение сезона, длительное сохранение товарных качеств и окраски зелени после срезки. Семена высевают с апреля в течение всего сезона. Практикуются подзимние посевы. Используется в свежем, сушеном виде и для переработки. Масса одного растения 100 г.</t>
  </si>
  <si>
    <t>4690368008839</t>
  </si>
  <si>
    <t>Ревень Виктория черешковый (Седек)</t>
  </si>
  <si>
    <t>Раннеспелый (от начала отрастания до хозяйственной годности черешков 33-36 дней) сорт. Многолетнее травянистое растение. Листья зеленые, очень крупные, широкие, слабопузырчатые, с волнистым краем с толстыми, сочными и мясистыми черешками, собранными  в прикорневую розетку. Используется для многократной срезки в течение всего весенне-летнего сезона. Урожайность 2,5-4,8 кг/м². Ценность растения: содержит органические кислоты, минеральные соли – калия, фосфора, магния, кальция, большое количество дубильных веществ, витамины. Применяется для улучшения пищеварения, возбуждения аппетита, обладает вяжущим, антисептическим и слабительным действием. Для приготовления компотов, киселей, вина, кваса, мармелада, цукатов используются сочные молодые черешки.</t>
  </si>
  <si>
    <t>4690368007917</t>
  </si>
  <si>
    <t>Редис Сережкина Любовь 2 гр. (Седек)</t>
  </si>
  <si>
    <t>Скороспелый (21-24 дней) сорт для открытого и защищенного грунта. Корнеплоды выравненные, округлые, гладкие, красные, массой 10-15 г. Мякоть белая, сочная, плотная, слабоострая.</t>
  </si>
  <si>
    <t>4690368044936</t>
  </si>
  <si>
    <t>Редис Черрисо (Седек)</t>
  </si>
  <si>
    <t>Раннеспелый (20-25 дней) всесезонный гибрид для выращивания в открытом грунте и в теплице. Розетка листьев среднего размера. Корнеплоды округлые, ярко-красного цвета, массой 25-35 г. Мякоть белая, плотная, сочная, вкус отличный. Корнеплоды устойчивы к растрескиванию и дряблению. Урожайность 2,5 кг/м2. Гибрид устойчив к цветушности и отличается высоким выходом товарной продукции. Рекомендуется для употребления в свежем виде.</t>
  </si>
  <si>
    <t>4690368007955</t>
  </si>
  <si>
    <t>Редька Детский сон 1 гр. (Сед)</t>
  </si>
  <si>
    <t>Среднеспелый (60-70 дней) сорт. Корнеплоды удлинённо-цилиндрические, белые, длиной 18-22 см, массой 350-550 г. Мякоть белая, сочная, хрустящая, слабо острая. Урожайность 3,7-4,5 кг/м2. Ценность сорта: устойчивость к низким температурам и к стеблеванию (цветушности), высокая товарность и качество, сохранность и транспортабельность корнеплода.</t>
  </si>
  <si>
    <t>601431033627</t>
  </si>
  <si>
    <t>Редька Завтрак гурмана (Седек)</t>
  </si>
  <si>
    <t>Среднеспелый (60-85 дней) сорт. Корнеплоды укорочено-цилиндрические, темно-зеленые с белым кончиком, массой 200-300 г. Мякоть светло-зеленая, сочная, нежная, хрустящая, практически без горечи, по вкусу приближается к редису. Ценность сорта: высокие вкусовые и диетические свойства, товарность корнеплодов, пригодность к длительному хранению, устойчивость к цветушности. Рекомендуется для употребления в свежем виде.</t>
  </si>
  <si>
    <t>4690368035163</t>
  </si>
  <si>
    <t>Репа Ажур (Седек)</t>
  </si>
  <si>
    <t>Среднеранний (от всходов до уборки 55-65 дней) сорт для выращивания в открытом грунте и под пленочными укрытиями. Корнеплоды необычной грушевидной формы, длиной 15см и шириной 8см, с белоснежной, плотной, сочной, сладкой мякотью. Устойчив к цветушности. Используется в свежем, варёном, пареном, печёном и солёном виде. Пригоден для лечебного, диетического и детского питания.
Урожайность 2,6-3,3 кг/м2.</t>
  </si>
  <si>
    <t>4607116266915</t>
  </si>
  <si>
    <t>Розмарин Ричард 0,05 гр.(Седек)</t>
  </si>
  <si>
    <t>Многолетнее вечнозеленое эфирное растение, высотой 50-70 см, хорошо облиственное, с голубовато-фиолетовыми цветками. Обладает сладковатым пряным ароматом и сильно выраженным вкусом, ценными лекарственными свойствами. Отличный медонос. Розмарин теплолюбив и засухоустойчив, не выносит заморозков ниже -16°С. На зиму переносят в прохладную комнату или в подвал. В кулинарии используется как пряно-вкусовая добавка и приправа к мясным, овощным блюдам. Является отличным укрепляющим и тонизирующим средством при общем истощении. B косметике используется при увядающей коже и для укрепления волос.</t>
  </si>
  <si>
    <t>4607149401741</t>
  </si>
  <si>
    <t>Салат Доктор Диабета,  цикорный 0,5 гр. (Сед)</t>
  </si>
  <si>
    <t>Среднеранний (65-75 дней) сорт. Розетка листьев мощная, раскидистая, практически расстилающаяся по земле. Листья ярко-зелёные, цельные, сильноизрезанные, напоминают одуванчиковые, с горечью. Горечь обусловлена высоким содержанием инулина, стабилизирующего содержание сахара в крови. Урожайность зелени 1,3-1,7 кг/м2. Ценность сорта: высокие питательные и лечебные свойства, пригодность к многократной срезке в течение сезона.</t>
  </si>
  <si>
    <t>4690368009683</t>
  </si>
  <si>
    <t>Свекла Дачница 3г (Седек)</t>
  </si>
  <si>
    <t>Среднеспелый (90-100 дней) сорт. Розетка листьев полураскидистая, с сильной антоциановой окраской.  Корнеплоды округлые, гладкие, бордовые, массой 170-350 г, погружены в почву на 2/3. Мякоть темно-красная, без выраженной кольцеватости, однородная, сочная. Урожайность 6,7-7,1 кг/м2. Ценность сорта: устойчивость к церкоспорозу, устойчивость к цветушности, высокая сохранность при зимнем хранении. Рекомендуется для использования в кулинарии, консервирования.</t>
  </si>
  <si>
    <t>4690368010276</t>
  </si>
  <si>
    <t>Свекла Для Борща 3г (Седек)</t>
  </si>
  <si>
    <t>Среднеспелый сорт (от всходов до сбора урожая 110-120 дней). Корнеплоды округлые, диаметром 10-12 см, массой 200-250 г, с темно-красной мякотью. Устойчив к цветушности. Ценность сорта: высокая урожайность и качество плодов, пригодность для длительного хранения. Используется в домашней кулинарии, консервировании. Отлично подходит для приготовления борща. Чтобы сохранить красный цвет свеклы при варке, можно добавить немного лимонной кислоты или яблочного уксуса.</t>
  </si>
  <si>
    <t>4607015189711</t>
  </si>
  <si>
    <t>Свекла Мадам Ружетт 3 гр. (Сед)</t>
  </si>
  <si>
    <t>Раннеспелый (80-100 дней) высокопродуктивный гибрид. Розетка листьев полупрямостоячая. Корнеплоды округлые, гладкие, тёмно-красные, массой 150-250 (до 550) г, с красной однородной мякотью и высокими вкусовыми качествами.</t>
  </si>
  <si>
    <t>4690368031400</t>
  </si>
  <si>
    <t>Свекла Мажор F1 (Седек)</t>
  </si>
  <si>
    <t>Раннеспелый (90-100 дней) гибрид. Розетка листьев прямостоячая, среднеоблиственная. Лист среднего размера, зеленый, с антоциановыми жилками. Черешок тонкий, средней длины. Корнеплоды округлые, однородные, гладкие, темно-красные, тонкокожие, с тонким осевым корешком,  массой 170-200 г. Мякоть красная, без колец.</t>
  </si>
  <si>
    <t>4607149403639</t>
  </si>
  <si>
    <t>Свекла Первый урожай (Седек)</t>
  </si>
  <si>
    <t>Раннеспелый (от всходов до уборки 80-95 дней) сорт. Корнеплоды округлые, выравненные, тёмно-бордовые, массой 180-200 г, на разрезе тёмно-красные, практически без колец, с отличными вкусовыми и технологическими качествами. Сорт устойчив к цветушности. Урожайность 3,7-7,0 кг/м2. Ценность сорта: ранее и дружное формирование корнеплодов, прекрасная пучковая продукция. Рекомендуется для использования в домашней кулинарии, консервирования, переработки и хранения.</t>
  </si>
  <si>
    <t>4690368008044</t>
  </si>
  <si>
    <t>Свекла Подзимняя (Седек)</t>
  </si>
  <si>
    <t>Среднеранний (95-105 дней) сорт для выращивания в ранневесеннем и подзимнем посевах. Корнеплод плоскоокруглый, массой 200-300 г, тёмно-красный, с небольшой слабошероховатой головкой. Мякоть интенсивно-тёмно-красная, нежная, сочная, сладкая и вкусная. Товарная урожайность 3,6-6,5 кг/м2. Ценность сорта: устойчивость к церкоспорозу и цветушности, холодостойкость, высокая вкусовые качества, пригодность для длительного хранения. Рекомендуется для использования в домашней кулинарии, консервирования, переработки.</t>
  </si>
  <si>
    <t>4607149404919</t>
  </si>
  <si>
    <t>Сельдерей Кладезь здоровья корневой (Седек)</t>
  </si>
  <si>
    <t>Раннеспелый (130-150 дней) корневой сорт. Розетка мощная, полураскидистая, с 15-25 темно-зелеными листьями. Корнеплод крупный, серовато-белый, округлый, массой 250-400 г, с белой, ароматной мякотью. Товарная урожайность 2,4-3,3 кг/м2. Ценность сорта: устойчивость к поражению болезнями, высокая товарность, качество и лежкость корнеплодов. Помогает при нервном истощении, переутомлении, астенических состояниях. Свежий сок корнеплода рекомендуется при алкоголизме. В пищу употребляются корнеплоды в виде салатов, гарниров и добавок к различным блюдам и закускам.</t>
  </si>
  <si>
    <t>4690368019880</t>
  </si>
  <si>
    <t>Спаржевый горох Салоники 0,5 гр. (Седек)</t>
  </si>
  <si>
    <t>Однолетнее растение семейства Бобовые, высотой до 40 см. Стебель стелющийся, от основания разветвленный, с сидячими тройчатыми листьями. Цветки одиночные, на длинных цветоножках, ярко-красные.  После отцветания образуются мясистые четырехгранные бобы длиной 4 см, которые можно употреблять в пищу, по вкусу напоминают спаржу. Для высадки предпочитает солнечные места с хорошо дренированной почвой. За счет своей декоративности выращивается не только на овощных грядках, но и на клумбах и как обсадочная культура вдоль дорожек.</t>
  </si>
  <si>
    <t>4690368008952</t>
  </si>
  <si>
    <t>Тимьян Змейка 0,05 гр. (Седек)</t>
  </si>
  <si>
    <t>Многолетний полукустарник. Растение со стелющимися побегами, высотой 30-50 см. Листья зеленые, мелкие, короткочерешковые. Цветки яркие, фиолетово-розовые. Обладает очень приятным, сильным ароматным запахом. Вкус острый сильно пряный. Урожайность зеленой массы 0,3-0,4 кг/м2. Ценность сорта: холодостойкость. Содержит эфирные масла, дубильные вещества, витамин С. Оказывает бактерицидное и дезинфицирующее действие. Листья и молодые побеги употребляют в свежем виде, используются в кулинарии для соления, маринования, копчения.</t>
  </si>
  <si>
    <t>4607015184402</t>
  </si>
  <si>
    <t>Томат Ажур F1 0,1 гр. (Сед)</t>
  </si>
  <si>
    <t>Раннеспелый (105-110 дней) высокоурожайный гибрид с высокими вкусовыми качествами плодов для открытого грунта и пленочных укрытий. Растение детерминантное, высотой 80 см. Плоды плоскоокруглые, красно-малиновые, с прочной кожицей, массой 240-260 до 400 г. Мякоть сладкая, мясистая, с высоким и очень сбалансированным содержанием сахаров, органических кислот и витаминов.</t>
  </si>
  <si>
    <t>4690368027465</t>
  </si>
  <si>
    <t>Томат Александр Великий F1 0,03 гр. (Седек)</t>
  </si>
  <si>
    <t>Среднеспелый (110-115 дней) гибрид для защищенного грунта. Растение индетерминантное, среднерослое, высотой 1-1,2 м. В кисти формируется 4-5 плодов. Плоды плоскоокруглые, очень крупные, плотные, не зрелые – темно-зеленые, зрелые – насыщенно-темно-красные, массой 300-500 г, толстокожие. Мякоть красно-малиновая, мясистая, имеет очень сладкий вкус. Ценность гибрида: устойчивость к вирусу табачной мозаики, вертициллезному и фузариозному увяданию, стрессоустойчивость, плоды не растрескиваются и долго сохраняют товарный вид, при хранении и транспортировке.</t>
  </si>
  <si>
    <t>4690368032551</t>
  </si>
  <si>
    <t>Томат Александр Второй F1 0,03 гр. (Седек)</t>
  </si>
  <si>
    <t>Среднеранний (105-110 дней) высокоурожайный гибрид для открытого грунта и пленочных укрытий. Растение детерминантное, высотой 1,0-1,3 м. Плоды округлые и плоскоокруглые, гладкие, темно-красные, плотные, с прочной кожицей, массой 180-280 г. Мякоть мясистая, отличного сбалансированного вкуса. Урожайность 12-16 кг/м2. Ценность гибрида: устойчивость к вертициллезу, фузариозу, вирусу табачной мозаики, стрессам, устойчивость плодов к растрескиванию, возможность транспортировки и хранения до 2-3 месяцев в оптимальных условиях. Подходит для крупно товарного производства. Назначение универсальное.</t>
  </si>
  <si>
    <t>4690368045919</t>
  </si>
  <si>
    <t>Томат БыС 0,03 гр. (Седек)</t>
  </si>
  <si>
    <t>Среднеранний (105-115 дней) сорт салатного назначения для парников и теплиц. Растение индетерминантное, высотой до 1,8 м. Формируется в один или два стебля. В кисти до 5 плодов. Плоды в форме сердца, слегка ребристые, тупоконечные, розовые, массой до 400 г. Мякоть мясистая, нежная, сахарная. Вкус отличный. Ценность сорта: крупноплодность, отличные вкусовые качества. Рекомендуется для употребления в свежем виде и переработки на томатопродукты.</t>
  </si>
  <si>
    <t>4690368045926</t>
  </si>
  <si>
    <t>Томат БыС 2 0,03 гр. (Седек)</t>
  </si>
  <si>
    <t>Среднеранний (105-115 дней) сорт салатного назначения для парников и пленочных теплиц. Растение индетерминантное, высотой до 1,8 м. Наилучшие результаты по урожайности можно получить при формировании растения в два стебля. В кисти до 7 плодов. Плоды в форме сердца, гладкие, густо-малиновые, массой до 300 г. Мякоть плотная, сочная. Вкус классический, насыщенный, сладкий. Ценность сорта: неприхотливость выращивания, крупноплодность, отличные вкусовые качества. Рекомендуется для употребления в свежем виде, переработки на соки и соусы.</t>
  </si>
  <si>
    <t>4690368045933</t>
  </si>
  <si>
    <t>Томат БыС 3 0,03 гр. (Седек)</t>
  </si>
  <si>
    <t>Оригинальный среднеранний (105-115 дней) сорт салатного назначения предназначен для
парников и теплиц. Растение индетерминантное, высотой до 1,8 м. Формируется в один или два стебля. В кисти до 7 плодов. Плоды формой сердца, слегка ребристые, незрелые – светло-зеленого цвета, с тонкой, едва заметной зеленой полоской, зрелые – нежно-оранжевого (абрикосового) цвета, массой 350-600 г, с плотной кожицей. Мякоть мясистая, сочная, с малым количеством семян. Вкус сладкий, с фруктовыми нотками.</t>
  </si>
  <si>
    <t>4690368045957</t>
  </si>
  <si>
    <t>Томат БыС 5 0,03 гр. (Седек)</t>
  </si>
  <si>
    <t>Среднеранний (105-115 дней) сорт салатного назначения для теплиц и парников. Растение индетерминантное, высотой до 1,8-2 м, мало облиственное. Наилучшие результаты по урожайности можно получить при формировании в два стебля. Кисти длинные, разветвленные, с 5-6 плодами. Плоды сердцевидные, с изящным носиком, массой 200-250 г, необычной расцветки. Незрелые плоды зеленые с фиолетовыми полосками и штрихами по всему плоду и антоциановым пятном у плодоножки. При созревании зеленый цвет переходит в оранжево-коричневый, а затем в багряный с фиолетовыми полосками. Мякоть темно-красная, сочная. Вкус насыщенный, сладкий.</t>
  </si>
  <si>
    <t>4690368045964</t>
  </si>
  <si>
    <t>Томат БыС 6 0,03 гр. (Седек)</t>
  </si>
  <si>
    <t>Среднеранний (105-115 дней) сорт салатного назначения для парников и теплиц. Растение индетерминантное, высотой до 1,8-2 м, среднеоблиственное. Наилучшие результаты по урожайности можно получить при формировании в два стебля. В кисти до 5 плодов. Плоды сердцевидные, слегка ребристые, коричнево-малиновые с зеленым пятном у плодоножки, массой 250-400 г. Мякоть коричнево-красная, сочная. Вкус насыщенный, сладкий, с приятными фруктовыми нотками.</t>
  </si>
  <si>
    <t>4690368045971</t>
  </si>
  <si>
    <t>Томат БыС 7 0,03 гр. (Седек)</t>
  </si>
  <si>
    <t>Среднеранний (105-115 дней) сорт салатного назначения для парников и теплиц. Растение полудетерминантное, высотой до 1,5 м. Наилучшие результаты по урожайности можно получить при формировании в два стебля. В кисти 4-6 плодов, розового цвета. Форма плода напоминает огромное сердце, массой до 600 г. Мякоть мясистая, плотная, сахаристая. Вкус сладкий, с небольшой кислинкой. Ценность сорта: крупноплодность, отличные вкусовые качества. Рекомендуется для употребления в свежем виде и переработки на соки и соусы.</t>
  </si>
  <si>
    <t>4690368045988</t>
  </si>
  <si>
    <t>Томат БыС 8 0,03 гр. (Седек)</t>
  </si>
  <si>
    <t>Среднеранний (105-115 дней) сорт салатного назначения для парников и теплиц. Растение индетерминантное, высотой до 1,8 м. Наилучшие результаты по урожайности можно получить при формировании в два стебля. В кисти до 5 плодов. Плоды в форме сердца, очень привлекательные, слегка ребристые, массой 350-500 г. Цвет ярко-розовый. Мякоть мясистая, нежная, сахаристая. Вкус отличный. Ценность сорта: стабильно высокая урожайность, крупноплодность, отличные вкусовые качества. Подходит для свежего употребления, приготовления соков и кетчупов.</t>
  </si>
  <si>
    <t>4690368010924</t>
  </si>
  <si>
    <t>Томат Весна Севера 0,05 гр. (Седек)</t>
  </si>
  <si>
    <t>Раннеспелый (95-105 дней) гибрид для открытого грунта и пленочных укрытий. Растение детерминантное, высотой 40-60 см.  Плоды плоскоокруглые, розовые, массой 210-350 г., мясистые, сочные. Урожайность 7,9-8,5 кг/м².</t>
  </si>
  <si>
    <t>4607015189902</t>
  </si>
  <si>
    <t>Томат Гелена F1 0.05 гр (Седек)</t>
  </si>
  <si>
    <t>Скороспелый (92-98 дней) гибрид для открытого грунта и пленочных укрытий. Растение детерминантное, высотой до 80-90 см. Плоды плоскоокруглые, слаборебристые, интенсивно-красные, массой 110-120 г.</t>
  </si>
  <si>
    <t>4607015189919</t>
  </si>
  <si>
    <t>Томат Гея 0.2 гр. (Седек)</t>
  </si>
  <si>
    <t>Раннеспелый (90-95 дней) сорт для открытого грунта и пленочных укрытий. Подходит для выращивания безрассадным способом. Растение детерминантное, высотой 45-55 см. Плоды крупные, плоскоокруглые, красные, массой 130-150 г., с отличным вкусом.</t>
  </si>
  <si>
    <t>4607149404926</t>
  </si>
  <si>
    <t>Томат Детская радость F1 0.05 гр (Седек)</t>
  </si>
  <si>
    <t>Раннеспелый (95-105 дней) гибрид для защищенного грунта. Растение индетерминантное, высотой более 2 м. Плоды округлые, красные, массой 20-30 г., сладкие, в кисти 12-16 плодов. Урожайность 5,1-5,7 кг/м².</t>
  </si>
  <si>
    <t>4690368022217</t>
  </si>
  <si>
    <t>Томат Детские пальчики 0,1 гр. (Седек)</t>
  </si>
  <si>
    <t>Среднеспелый (105-110 дней) гибрид для теплиц и пленочных укрытий. Растение индетерминантное. Плоды удлиненно-цилиндрические с «носиком», ярко-красные, массой 80-100 г, плотные, с прочной кожицей. Вкусовые качества высокие.</t>
  </si>
  <si>
    <t>4690368008082</t>
  </si>
  <si>
    <t>Томат Жирдяй (Седек)</t>
  </si>
  <si>
    <t>Среднеспелый, детерминантный, низкорослый, крупноплодный сорт томата для открытого грунта и пленочных укрытий. Куст высотой 0,7-0,8 метра, требует подвязки к опоре и частичного пасынкования. Лист обычного типа. Плоды округлые и плоскоокруглые, гладкие, плотные, в стадии зрелости красного цвета, весом 200-300 г, отличного вкуса. НЕ склонны к растрескиванию. Эти помидоры подходят как для свежего потребления, так и для переработки</t>
  </si>
  <si>
    <t>4690368012973</t>
  </si>
  <si>
    <t>Томат Императрица F1 0.05г  (Седек)</t>
  </si>
  <si>
    <t>Среднеранний (95-100 дней от всходов до начала созревания), индетерминантный, высокорослый, гибрид томата. Рекомендован к выращиванию в теплице, в южных регионах — в открытом грунте. Куст хорошо облиственный, высотой в теплице до 2-х метров, в ОГ около 1,5 метра. Требуется подвязка и пасынкование. Формировать этот сорт лучше всего в 2 стебля. Плоды — вытянутые сливки, очень плотные, практически все одного размера, в стадии зрелости красного цвета, весом 90-100 г. Эти помидоры подойдут больше для консервации, а вот для свежего потребления они не очень подходят. Многие садоводы отмечают весьма посредственный вкус и «деревянность» плодов</t>
  </si>
  <si>
    <t>4690368030908</t>
  </si>
  <si>
    <t>Томат Карамель Медовая F1 0.1 гр (Седек)</t>
  </si>
  <si>
    <t>Раннеспелый  (98-105) гибрит для открытого грунта и пленочных укрытий. Растение детерминантное, высотой до 1 м . Плоды овальные ярко-оранжевые,  массой 25-40г , плотные с прочной кожецей, сладкие , собраны в длинные  кисти по  10 -18 штук.</t>
  </si>
  <si>
    <t>4690368028127</t>
  </si>
  <si>
    <t>Томат Каспар 2  F1 0,05г (Седек)</t>
  </si>
  <si>
    <t>Среднеранний (100-110 дней) гибрид для открытого грунта и пленочных укрытий. Растение детерминантное, высотой 80 см. Требует умеренного пасынкования. Плоды удлиненно- цилиндрические, красные, глянцевые, массой 120-130 г, мясистые, с малым количеством семян и прочной кожицей.  Ценность гибрида: устойчивость к комплексу заболеваний, повышенное содержание сахаров и сухого вещества, транспортабельность, лежкость. Рекомендуется для свежего использования, консервирования, засолки, фарширования, приготовления детского питания, томатного сока, пюре.</t>
  </si>
  <si>
    <t>4607116260357</t>
  </si>
  <si>
    <t>Томат Каспар F1 0,05 г (Седек)</t>
  </si>
  <si>
    <t>Раннеспелый (93-95 дней) гибрид для открытого грунта и пленочных укрытий. Растение детерминантное, высотой 45-55 см. Требует умеренного пасынкования. Плоды удлиненные, перцевидно-цилиндрической формы с «носиком», красные, массой 120-140 г, с плотной хорошо отделяемой кожурой. Ценность гибрида: обладает устойчивостью к вертициллезному и фузариозному увяданию, устойчивость плодов к растрескиванию, высокие технологические качества, при консервировании плоды сохраняют высокую плотность (можно резать на дольки!), лежкость и транспортабельность. Рекомендуется для консервирования, особенно в собственном соку, и засолки.</t>
  </si>
  <si>
    <t>4690368032735</t>
  </si>
  <si>
    <t>Томат Каспар Полосатый F1 0,1 гр (Седек)</t>
  </si>
  <si>
    <t>Среднеранний (110-115 дней) гибрид для открытого грунта и пленочных укрытий. Растение детерминантное, высотой 80-90 см. Требует умеренного пасынкования. Плоды перцевидные, необычайно красивые, яркие, красно-оранжевые, с желтыми продольными полосами, массой 120-130 г, среднеплотные, с малым количеством семян.  Ценность гибрида: устойчивость к комплексу заболеваний, повышенное содержание Бета-каротина, хороший вкус.</t>
  </si>
  <si>
    <t>4607116260524</t>
  </si>
  <si>
    <t>Томат Красный мясистый (Седек)</t>
  </si>
  <si>
    <t>Среднеспелый (110-115 дней) сорт салатного назначения для защищенного грунта и пленочных укрытий. Растение полудетерминантное, высотой до 1,5 м. Плоды насыщенно-красные, крупные, плоскоокруглые, мясистые, массой 300 г. Урожайность 13-15 кг/м? под пленочными укрытиями и 21-23 кг/м? в защищенном грунте. Ценность сорта: стабильное и продолжительное плодоношение, высокие вкусовые качества плодов. Рекомендуется для использования в свежем виде и для переработки на томатопродукты.</t>
  </si>
  <si>
    <t>4607015185447</t>
  </si>
  <si>
    <t>Томат Кукла F1 0,1 гр (Седек)</t>
  </si>
  <si>
    <t>Очень ранний (85-95 дней) высокоурожайный гибрид для открытого грунта и пленочных укрытий. Растение детерминантное, высотой 60-70 см. Требует умеренного пасынкования. Плоды крупные, округлые, розовые, массой 150-200 и до 400 г. Вкусовые качества очень высокие. Ценность гибрида: сочетание скороспелости, обильного плодоношения и дружного созревания. Рекомендуется для употребления в свежем виде и приготовления томатопродуктов.</t>
  </si>
  <si>
    <t>4690368013000</t>
  </si>
  <si>
    <t>Томат Кукла Маша F1 0.05г (Сед)</t>
  </si>
  <si>
    <t>Раннеспелый (95-105 дней) гибрид для открытого грунта и пленочных теплиц. Растение детерминантное, высотой 60-80 см. В кисти формируется 4-5 плодов. Плоды плоскоокруглые, слаборебристые, ярко-розовые, массой 200-260 г, мясистые, сбалансированного вкуса по наличию сахаров и кислот. Урожайность 8 кг/м2. Ценность гибрида: устойчивость к вертициллезу, дружное раннее созревание, непревзойденный вкус. Назначение универсальное.</t>
  </si>
  <si>
    <t>4607116260623</t>
  </si>
  <si>
    <t>Томат Мажор F1 0,05 гр (Седек)</t>
  </si>
  <si>
    <t>Среднеранний (105-110 дней) высокоурожайный гибрид салатного назначения для открытого грунта и пленочных укрытий. Растение высокорослое, индетерминантное, высотой до 1,8 м, требует пасынкования. Плоды крупные, округлые, малиновые, мясистые, сахаристые, массой 190-260 (до 300) г. Вкусовые качества очень высокие. Ценность гибрида: устойчивость к заболеваниям, отличные товарные качества плодов, пригодность для крупнотоварного производства. Рекомендуется для употребления в свежем виде, приготовления салатов и соков.</t>
  </si>
  <si>
    <t>4607116260883</t>
  </si>
  <si>
    <t>Томат Михей 0,05 гр. (Сед)</t>
  </si>
  <si>
    <t>Раннеспелый (100-105 дней) гибрид для открытого грунта и пленочных укрытий. Растение среднерослое, супердетерминантного типа, высотой до 1 м, с низкой пасынкообразующей способностью, практически исключающей пасынкование. Плоды выравненные, округлые, слаборебристые, интенсивно-красные, массой 120-150 (до 180) г. Ценность гибрида: устойчивость к вирусу табачной мозаики, фузариозу, галловой нематоде, относительная устойчивость к кладоспориозу, повышенная холодостойкость, выносливость к недостаточной освещенности, обильное плодоношение, пригодность к продолжительной транспортировке и хранению. Подходит для крупнотоварного производства. Назначение универсальное.</t>
  </si>
  <si>
    <t>4690368022279</t>
  </si>
  <si>
    <t>Томат Настена F1 0.1 гр (Седек)</t>
  </si>
  <si>
    <t>Раннеспелый (95-100 дней) гибрид для открытого грунта и пленочных укрытий. Растение детерминантное, высотой 1-1,2 м, слабо облиственное. В кисти формируется до 5 плодов. Плоды крупные, округлые, слегка ребристые, красные, массой 100-150 г, с плотной, сочной, сладкой мякотью. Ценность гибрида: устойчивость к вертициллезу, транспортабельность; хорошо переносит переувлажнение и пониженную температуру воздуха. Рекомендуется для потребления в свежем виде, переработки, засолки.</t>
  </si>
  <si>
    <t>4690368031127</t>
  </si>
  <si>
    <t>Томат Непас 10 Непасынкующийся Полосатый  0,1 гр (Седек)</t>
  </si>
  <si>
    <t>Раннеспелый (95-100 дней) сорт для открытого грунта и пленочных укрытий. Растение детерминантное, высотой 60-70см, штамбовое. Не требует обязательного пасынкования. Плоды овальные, малиновые с тонкими желтыми полосками, среднеплотные, массой 70-80 г, мясистые, отличного вкуса. Ценность сорта: сочетание раннеспелости и высокой урожайности, декоративность. Рекомендуется для свежего использования, цельноплодного консервирования, переработки на томатопродукты.</t>
  </si>
  <si>
    <t>4690368031134</t>
  </si>
  <si>
    <t>Томат Непас 11 Непасынкующийся Комнатый 0,1 гр (Седек)</t>
  </si>
  <si>
    <t>Ультраскороспелый (от всходов до созревания 90-95 дней) сорт. Растение компактное, низкорослое, штамбовое, высотой 25-35 см, усыпано шаровидными красными, мелкими сладкими плодами, массой 20 г. Ценность сорта: раннеспелость, теневыносливость, декоративность. Прекрасно растет в открытом грунте, парниках и теплицах. В домашних условиях подходит для выращивания в горшках и ящиках на балконах, лоджиях, зимних садах, подоконниках.</t>
  </si>
  <si>
    <t>4690368044707</t>
  </si>
  <si>
    <t>Томат Непас 15 Непасынкующийся Балконный 0,1 гр (Седек)</t>
  </si>
  <si>
    <t>Скороспелый (90-95 дней) сорт для открытого грунта и выращивания на балконе и подоконнике. Растение детерминантное, штамбовое, высотой 35-45 см. Очень прост в уходе. Не требует обязательной подвязки и пасынкования. Плоды округлые, гладкие, ярко-красные, массой 30-40 г, сладковатого вкуса, с плотной кожицей, хорошо хранятся. Ценность сорта: стрессоустойчивость, устойчивость к заболеваниям, компактность, высокие вкусовые качества плодов. Используются для свежего употребления, консервирования, заморозки, вяления.</t>
  </si>
  <si>
    <t>4690368025461</t>
  </si>
  <si>
    <t>Томат Огородник 0,1 гр. (Сед)</t>
  </si>
  <si>
    <t>Среднеспелый (от всходов до сбора урожая 105-115 дней) сорт салатного назначения для пленочных укрытий и теплиц. Растение индетерминантное, высотой 1,5 м. В кисти формируются 3-5 плодов. Плоды плоскоокруглые, гладкие, красные, массой 150-250 г, мясистые, вкусные. Урожайность 7,5-8,5 кг/м2. Ценность сорта: устойчивость к вирусу табачной мозаики, фузариозу, холодостойкость, высокая урожайность и качество урожая.</t>
  </si>
  <si>
    <t>4690368028158</t>
  </si>
  <si>
    <t>Томат Оконно-балконный 0,1 гр (Седек)</t>
  </si>
  <si>
    <t>Скороспелый (90-100 дней) сорт для открытого грунта и выращивания на балконах и лоджиях, подоконнике. Растение детерминантное, штамбовое, высотой до 40-50 см. Не требует обязательного пасынкования. Плоды округлые и плоскоокруглые, гладкие, ярко-красные, массой 40-70 г, средней плотности. Ценность сорта: стрессоустойчивость, компактность, высокие вкусовые качества свежих и переработанных плодов.</t>
  </si>
  <si>
    <t>4690368009898</t>
  </si>
  <si>
    <t>Томат Подарок Женщине  F1 0.05г  (Седек)</t>
  </si>
  <si>
    <t>Среднеранний (105-110 дней) гибрид для открытого грунта и пленочных укрытий. Растение детерминантное, мощное, хорошо облиственное, высотой 70-80 см. В кисти формирует 4-6 плодов. Плоды округлые, выравненные, ярко-розовые, массой 200-250 г, плотные, с толстой кожицей. Вкусовые качества отличные. Урожайность 7,7-8,6 кг/м2. Ценность гибрида: устойчивость к вирусу табачной мозаики, фитофторозу, вертициллезному увяданию, жаростойкость, долго сохраняет товарные качества плодов на корню, подходит для длительной транспортировки и хранению до 1-1,5 месяцев. Рекомендуется для употребления в свежем виде и кулинарной переработки.</t>
  </si>
  <si>
    <t>4690368036450</t>
  </si>
  <si>
    <t>Томат Самбол 0,1 гр. (Седек)</t>
  </si>
  <si>
    <t>Среднеспелый (110-115 дней) сорт для открытого грунта, пленочных теплиц и укрытий. Растение индетерминантное, высотой 1,5 м, формирует 7-10 кистей за сезон. В кисти завязывается до 6-8 крупных плодов. Плоды округлые, ярко-красные, массой 200-250 г и более, плотные, мясистые. Мякоть отличного вкуса, благодаря гармоничному соотношению кислот и сахара. Урожайность 10-12 кг с м/2. Ценность сорта: умеренная устойчивость к нематоде, выносливость к неблагоприятным погодным условиям, обильное плодоношение, крупные товарные однородные плоды, транспортабельность. Идеален для приготовления свежих салатов, соков и переработки на томатопродукты.</t>
  </si>
  <si>
    <t>4690368042758</t>
  </si>
  <si>
    <t>Томат Самбол Ананасный 0,1 гр. (Седек)</t>
  </si>
  <si>
    <t>Раннеспелый (105-110 дней) сорт для парников и теплиц. Растение индетерминантное, среднеоблиственное, высотой до 1,5-1,7 м. В кисти формирует 4-5 плодов с необычной экзотической окраской. Плоды плоскоокруглые ребристые, крупные, массой 400-600 г, зеленоватые, с розово-коричневым оттенком, пестрые, напоминающие по цвету настоящие ананасы. Мякоть сочная, практически без семян. Сахаристость довольно высокая, это делает их сладкими, без выраженной кислинки. Урожайность составляет 8-9 кг/м2. Ценность сорта: устойчивость к болезням, крупноплодность, высокая декоративность плодов. Необычная окраска и приятный вкус делают его незаменимым для приготовления салатов и закусок, употребления в свежем виде.</t>
  </si>
  <si>
    <t>4690368044615</t>
  </si>
  <si>
    <t>Томат Самкон 0,05 гр. (Седек)</t>
  </si>
  <si>
    <t>Среднеспелый (100-110 дней) гибрид для открытого грунта и пленочных укрытий. Растение детерминантное, высотой 70-90 см, до 1,2 м в теплице. Плоды перцевидные, c небольшим носиком, красные, глянцевые,7-9 см в длину, массой 95-110 г, плотные. Вкус томатный, сбалансированный. Урожайность 15-16,9 кг/м2. Ценность гибрида: рекордная урожайность, устойчивость к комплексу болезней, стрессоустойчивость. Плоды долго сохраняют товарность, транспортабельны. Могут употребляться в свежем виде, не заменимы для переработки на томатную пасту и цельноплодного консервирования.</t>
  </si>
  <si>
    <t>4690368044608</t>
  </si>
  <si>
    <t>Томат Самкон 11 0,05 гр. (Седек)</t>
  </si>
  <si>
    <t>Среднеспелый (105-110 дней) гибрид для открытого грунта и пленочных укрытий. Растение детерминантное, высотой 80-100 см, до 1,5 м в теплице. Плоды перцевидные, ярко-красные, глянцевые, до 11 см в длину, массой 150-200 г, среднеплотные, сбалансированного вкуса. Урожайность 16-18 кг/м2. Ценность гибрида: стабильно высокая урожайность, устойчивость к комплексу болезней, жаростойкость, выравненность плодов по размеру и форме. Плоды не поражаются вершинной гнилью, долго сохраняют товарность на кусту и после сбора. Рекомендуется для употребления в свежем виде, переработки на пасту, консервирования и фарширования.</t>
  </si>
  <si>
    <t>4690368044622</t>
  </si>
  <si>
    <t>Томат Самкон 12 0,05 гр. (Седек)</t>
  </si>
  <si>
    <t>Среднеранний (105-110 дней) сорт для пленочных укрытий и теплиц. Растение индетерминантное. Требует подвязки и умеренного пасынкования. В кисти формируется 5 плодов. Плоды красивые, цилиндрические c носиком, длиной 10-12 см, массой до 175 г, незрелые зеленые с темно-зеленым пятном, практически исчезающим при созревании. Зрелые - красные, гладкие, плотные, отличного вкуса, с высоким содержанием сухого вещества. Ценность гибрида: устойчивость к основным заболеваниям томата, высокое качество плодов, транспортабельность и способность длительно храниться. Рекомендуется для использования в свежем виде, переработки на томатную пасту.</t>
  </si>
  <si>
    <t>4690368044585</t>
  </si>
  <si>
    <t>Томат Самкон 7 0,05 гр. (Седек)</t>
  </si>
  <si>
    <t>Среднеранний (95-100 дней) гибрид для открытого грунта и пленочных укрытий. Растение детерминантное, высотой 80-100 см, до 1,4 м в теплице. Плоды перцевидные, красные, глянцевые, до 7 см в длину, массой 100-140 г, плотные, отличного вкуса. Урожайность 14-16 кг/м2. Ценность гибрида: стабильно высокая урожайность, устойчивость к комплексу болезней, жаростойкость, выравненность плодов по размеру и форме. Плоды долго сохраняют товарный вид на кусту и после сбора. Рекомендуется для употребления в свежем виде и переработки на томатную пасту, цельноплодного консервирования.</t>
  </si>
  <si>
    <t>4690368044592</t>
  </si>
  <si>
    <t>Томат Самкон 9 0,05 гр. (Седек)</t>
  </si>
  <si>
    <t>Среднеранний (95-100 дней) гибрид для открытого грунта и пленочных укрытий. Растение детерминантное, высотой до 1 м, до 1,3 м в теплице. В кисти формируется до 7 плодов. Плоды перцевидные, красные, глянцевые, длиной до 9 см, массой 100-120 г, плотные, с прочной кожицей. Вкус сбалансированный томатный. Урожайность 15-16 кг/м2. Ценность гибрида: стабильно высокая урожайность, устойчивость к основным болезням томатов, жаростойкость, выравненность плодов по размеру и форме. Плоды хорошо хранятся и транспортируются. Рекомендуется для употребления в свежем виде, консервирования, переработки на томатопродукты.</t>
  </si>
  <si>
    <t>4690368045179</t>
  </si>
  <si>
    <t>Томат Самран 4 0,1 г  (Седек)</t>
  </si>
  <si>
    <t>Раннеспелый (100-105 дней) крупноплодный сорт салатного назначения для открытого грунта и пленочных укрытий. Растение детерминантное, высотой 60- 65 см. Требует умеренного пасынкования. Плоды плоскоокруглые, розовые, массой 150-200 (до 250) г. Кожица тонкая. Мякоть средней плотности, нежная, сладковатая. Урожайность 8-9 кг/м2 .</t>
  </si>
  <si>
    <t>4690368044660</t>
  </si>
  <si>
    <t>Томат Самчеррито 0,05 г  (Седек)</t>
  </si>
  <si>
    <t>Раннеспелый (100-105 дней) гибрид для открытого грунта, пленочных укрытий и теплиц. Растение детерминантное, высотой 1,5-1,8 м в теплице. В открытом грунте до 1метра.  Формировать его можно в 2 – 3 стебля. Плоды овальные, красные, массой до 25 г, плотные, с прочной кожицей, собраны в многочисленные, дружно созревающие кисти до 30 штук. Плодов так много, что практически не видно листьев. Вкус сладкий и насыщенный. Урожайность в пленочной теплице до 8 кг/м2. Ценность гибрида: устойчивость к основным болезням томатов, длительное плодоношение, хранение в свежем виде до месяца. Красивые, ароматные плоды используются в качестве закуски, салата и сока в свежем виде, и идеально подойдут для консервирования, вяления и заморозки.</t>
  </si>
  <si>
    <t>4690368044639</t>
  </si>
  <si>
    <t>Томат Самчеррито Кримсон 0,05 г  (Седек)</t>
  </si>
  <si>
    <t>Раннеспелый (100-105 дней) гибрид для открытого грунта, теплиц и пленочных укрытий. Растениеполудетерминантное, довольно высокое, до 2 м в теплице. Формировать его можно в 2 стебля. Плоды округло-овальные, малиновые, массой 25-30 г, плотные, собраны в многочисленные, дружно созревающие кисти до 25 штук. Вкус яркий, сбалансированный. Плоды не растрескиваются и не осыпаются. Урожайность составляет 7-8 кг/м2. Ценность гибрида: устойчивость к основным болезням томатов, рекордная урожайность, плодоношение до поздней осени, сохраняет товарные качества в обычных условиях до двух недель.</t>
  </si>
  <si>
    <t>4607116261460</t>
  </si>
  <si>
    <t>Томат Свит Черри F1  0,05 гр  (Седек)</t>
  </si>
  <si>
    <t>Ультраскороспелый (75-83 дня) высокоурожайный гибрид для парников и теплиц (настоящее «конфетное дерево»!). Растение сильнорослое, высотой до 2 м, требует пасынкования и подвязки. Плоды выравненные, гладкие, интенсивно-красные, очень сладкие, массой 20-30 г, собраны по 30-50 штук в сложные и простые кисти. Обладает комплексной устойчивостью к болезням.</t>
  </si>
  <si>
    <t>4690368014663</t>
  </si>
  <si>
    <t>Томат Сергей F1 0,05 гр. (Седек)</t>
  </si>
  <si>
    <t>Среднеранний (105-110 дней) гибрид для защищенного грунта. Растение индетерминантное, высотой 1,8-2 м, среднеоблиственное. Требует подвязки и пасынкования. В кисти формируется 5-6 плодов. Плоды ярко-розовые, плоскоокруглые, гладкие, массой 300 г, мясистые, сочные, очень вкусные. Ценность гибрида: устойчивость к фузариозу, вертициллезу, вирусу табачной мозаики, высокая урожайность и отличные товарные качества плодов. Рекомендуется для употребления в свежем виде, приготовления салатов и соков, и всех видов переработки.</t>
  </si>
  <si>
    <t>4607116261576</t>
  </si>
  <si>
    <t>Томат Союз-8  F1 0.1г  (Седек)</t>
  </si>
  <si>
    <t>Раннеспелый (103-105 дней) гибрид для открытого грунта и пленочных укрытий. Растение мощное, среднеоблиственное, высотой 60-70 см. Требует умеренного пасынкования. Первое соцветие закладывается над 5-6 листом. Плоды выравненные, плоскоокруглые, интенсивно-красные, гладкие, очень плотные, массой 110-130 г. Ценность гибрида: устойчивость к вирусу табачной мозаики, вершинной гнили плодов, макроспориозу, альтернариозу, жаростойкость, стабильно высокая урожайность, хорошие вкусовые качества, прекрасная транспортабельность. Назначение универсальное.</t>
  </si>
  <si>
    <t>4607116261583</t>
  </si>
  <si>
    <t>Томат Спрут F1 0,03г (Седек)</t>
  </si>
  <si>
    <t>Этот чудо-гибрид (115-120 дней) относится к кистевым томатам, отличается мощностью и сильным ростом. В теплицах, при интенсивном минеральном питании, в условиях достаточного тепла и света, его можно выращивать как огромное томатное дерево. Кисти красивые, с 5-6 выравненными плодами в каждой. Плоды округлые, красные, очень плотные, мясистые, массой до 100-160 г. Вкусовые качества отличные. Назначение универсальное.</t>
  </si>
  <si>
    <t>4690368009966</t>
  </si>
  <si>
    <t>Томат Спрут черри F1 0.03г  (Седек)</t>
  </si>
  <si>
    <t>Среднеранний (100-105 дней) гибрид для защищенного грунта. Растение индетерминантное, мощное, 1,8-2 м высотой, требует подвязки и формирования. При интенсивном минеральном питании и искусственном досвечивании в теплице можно выращивать как «томатное дерево». Плоды округлые, ярко-красные, массой 15-20 г, собраны в длинные кисти по 16-20 штук, плотные, очень сладкие как конфеты, не растрескиваются, долго хранятся в свежем виде. Урожайность: 6-8 кг/м2. Ценность гибрида: устойчивость к вертициллезному увяданию, вирусу табачной мозаики, жаростойкость, длительный период плодоношения. Рекомендуется для использования в свежем виде, для приготовления различных салатов, консервации, сушки.</t>
  </si>
  <si>
    <t>4607116267950</t>
  </si>
  <si>
    <t>Томат Утёнок 0,1 гр. (Седек)</t>
  </si>
  <si>
    <t>Раннеспелый "100-105 дней" сорт. Растение штамбовое, с обилием ярко-оранжевых, округлых с «носиком» плодов, массой 70-90 г. Не требует пасынкования. Плоды плотные, с повышенным содержанием сахаров и бета-каротина. Вкусовые качества высокие. Ценность сорта: устойчив к заболеваниям, очень вынослив к неблагоприятным погодным условиям, дает урожай в любое лето. Рекомендуется для лечебного и диетического питания для профилактики онкологических заболеваний.</t>
  </si>
  <si>
    <t>4690368036368</t>
  </si>
  <si>
    <t>Томат Черный Крымский 0,1 гр. (Седек)</t>
  </si>
  <si>
    <t>Среднеспелый (от всходов до сбора урожая 105-115 дней) сорт для пленочных теплиц, завоевавший популярность среди огородников благодаря крупным, необычно окрашенным и очень вкусным плодам. Салатного назначения. Растение индетерминантное, среднерослое, высотой до 2 м. Плоды плоскоокруглые, слегка ребристые, красно-коричневого цвета, мясистые, сладкие, массой 250-350 г. Урожайность 8-9 кг/м2. Ценность сорта: устойчивость к заболеваниям, высокая урожайность и крупноплодность, отменный вкус и яркий аромат плодов. Рекомендуется для употребления в свежем виде, может использоваться для переработки на соки и томатопродукты.</t>
  </si>
  <si>
    <t>4690368026215</t>
  </si>
  <si>
    <t>Томат Черри Клубничный F1 0.05 гр  (Седек)</t>
  </si>
  <si>
    <t>Для любителей ранних томатов черри есть очень хороший сорт, он называется «Черри клубничный». Этот гибрид способен порадовать вас не только красотой кустов, но и прекрасным вкусом плодов.</t>
  </si>
  <si>
    <t>4607116261873</t>
  </si>
  <si>
    <t>Томат Чудо Рынка 0,1г (Седек)</t>
  </si>
  <si>
    <t>Среднепоздний "112-120 дней" сорт для парников и теплиц. Растение высокорослое, высотой 1,5-1,6 м. Требует пасынкования и подвязки. Плоды крупные, округлые и плоскоокруглые, массой 200-300 г и более "рекордный плод СеДеК – 810 г!", вкусные, мясистые, сахаристые. Ценность сорта: крупноплодность, высокое качество плодов, товарность, продолжительный период плодоношения. Рекомендуется для использования в свежем виде, приготовления соков, для кулинарной переработки</t>
  </si>
  <si>
    <t>4690368030793</t>
  </si>
  <si>
    <t>Тыква Ажур Медовый 1 гр. (Сед)  222433824</t>
  </si>
  <si>
    <t>Среднеспелый (110-125 дней) сорт. Растение мощное, длинноплетистое. Плоды слабосплюснутые, слабосегментированные, светло-серые, без рисунка, с упругой кожистой корой, массой 5-9 кг.</t>
  </si>
  <si>
    <t>4690368021883</t>
  </si>
  <si>
    <t>Тыква Каротиновая 1,5 гр. (Седек)</t>
  </si>
  <si>
    <t>Среднеспелый (110-115 дней) гибрид столового назначения. Растение плетистое, лист цельный, крупный. Плоды необычной формы удлиненно-цилиндрические (похожи на веретено), слабосегментированные, серо-зеленые, массой 3-4 кг. Мякоть жёлто-оранжевая, плотная, ароматная, сладкая. С одного растения можно получить до 16 кг плодов.</t>
  </si>
  <si>
    <t>4690368021890</t>
  </si>
  <si>
    <t>Тыква Любимица F1 гр (Седек)</t>
  </si>
  <si>
    <t>Среднеспелый (110-120 дней) гибрид столового назначения. Растение длинноплетистое, ветвистое, с многочисленными порционными плодами. Плоды плоскоокруглые, темно-зеленые со светло-зелеными полосками, массой 2-2,5 кг. Мякоть ярко-желтая, плотная, сочная, ароматная. Ценность гибрида: высокий урожай, пригодность для длительного хранения. Идеально подходит для диетического и детского питания. Рекомендуется для употребления в свежем виде, домашней кулинарии, консервирования, маринования, переработки на соки.</t>
  </si>
  <si>
    <t>4690368013079</t>
  </si>
  <si>
    <t>Тыква Царевна лягушка 2г (Седек) 222402709</t>
  </si>
  <si>
    <t>Среднепоздний (125-130 дней) сорт крупноплодной тыквы. Растение плетистое. Плоды плоскоокруглые, чалмовидные, с сильно морщинистой темно-зеленой корой, массой 6-10 кг. Мякоть желто-оранжевая, толстая, плотная, сочная, сладкая. Семенная камера небольшая. Урожайность с одного растения 12-25 кг. Для выращивания предпочтительны солнечные южные склоны с плодородной почвой. Ценность сорта: оригинальная декоративная форма плодов, отличные вкусовые качества, не изменяющиеся во время длительного хранения, транспортабельность. Рекомендуется для использования в свежем, вареном, тушеном, консервированном виде. Незаменима в диетическом и лечебном питании.</t>
  </si>
  <si>
    <t>4607116262139</t>
  </si>
  <si>
    <t>Укроп Деликат 2 гр. (Седек)</t>
  </si>
  <si>
    <t>Среднеспелый сорт (от всходов до срезки на зелень 40-60 дней, на специи – 80-95 дней). Розетка листьев мощная, полуприподнятая, сильнооблиственная, высотой 30-40 см. Листья крупные, среднерассечённые, зелёные, с восковым налётом, очень ароматные. Растения в фазу цветения высотой до 150 см, с крупным, выпуклым, сильно ароматным зонтиком. Для непрерывного получения нежной зелени рекомендуется производить посевы каждые 10-14 дней, в теплицах может использоваться как уплотняющая культура. Урожайность при уборке на зелень 2,5-3,5 кг/м2, на специи – 3,5-4,5 кг/м2. Ценность сорта: формирует большое количество ароматной зелени, длительный период хозяйственной годности зелени, долго не формирует соцветия. Рекомендуется для употребления в свежем виде, сушки, замораживания, засолки, приготовления различных приправ, и как специи при консервировании и мариновании.</t>
  </si>
  <si>
    <t>4607116262146</t>
  </si>
  <si>
    <t>Укроп Дилл Е (Седек)</t>
  </si>
  <si>
    <t>Среднеспелый сорт (от всходов до срезки на зелень 42-64 дня). Растение высотой 70-90 см, сильно-облиственное. Стебель прямостоячий, нежный. Листья тёмно-зелёные, сильнорассечённые, с сильным ароматом и отличными вкусовыми качествами. Зонтик образуется позднее, чем у других сортов. Для непрерывного сбора нежной зелени рекомендуется производить посевы каждые 10-14 дней, в теплицах может использоваться как уплотняющая культура. Ценность сорта: дружное формирование нежной зелени, медленное стеблевание, высокая ароматичность. Рекомендуется для употребления как пряность в свежем, сушёном, солёном виде. Используется в диетическом питании при заболевании печени, желчного пузыря, при метеоризме</t>
  </si>
  <si>
    <t>4607149405268</t>
  </si>
  <si>
    <t>Укроп Спаржевый букет 2 гр. (Седек)</t>
  </si>
  <si>
    <t>Среднеспелый сорт (период от полных всходов до уборки на зелень 41 день, на специи 70-85 дней). Растение сильнооблиственное, в фазе цветения высотой 110-150 см. Розетка листьев мощная, полуприподнятая. Листья среднего размера, тёмно-зелёные с восковым налетом, средне рассеченные. Зонтик среднего размера, появляется сравнительно поздно. Ценность сорта: формирование большого количества сочной ароматной зелени. Рекомендуется для употребления как пряность в свежем, сушёном, солёном виде, используется как диетический продукт при заболевании печени, желчного пузыря, при метеоризме, при излишнем весе, диабете, отложении солей.</t>
  </si>
  <si>
    <t>4607116262191</t>
  </si>
  <si>
    <t>Фасоль Инга (зерновая) 5 гр. (Седек)</t>
  </si>
  <si>
    <t>Ранний (55-65 дней) сорт зерновой фасоли. Растение кустовое, высотой 40-45 см. Зерно белое, удлиненное. Масса 1000 семян – 700-720 г. Содержание белка – 24%. Ценность сорта: высокая урожайность, устойчивость к неблагоприятным условиям выращивания.</t>
  </si>
  <si>
    <t>4607116262238</t>
  </si>
  <si>
    <t>Фасоль Садовод 5 гр. (Седек)</t>
  </si>
  <si>
    <t>Среднеранний (60-65 дней) сорт зерновой фасоли. Растение кустовое, компактное, высотой 40-45 см. Бобы лущильные, с тонким пергаментным слоем. Зерно овальное, каштановое с красными пятнышками. Ценность сорта: высокая урожайность, устойчивость к неблагоприятным условиям выращивания. Является важным диетическим продуктом при гастритах с пониженной кислотностью и сахарном диабете. Рекомендуется для использования в домашней кулинарии в качестве высокобелкового компонента питания.</t>
  </si>
  <si>
    <t>4690368012638</t>
  </si>
  <si>
    <t>Физалис Джемовый 0,1 гр (Сед)</t>
  </si>
  <si>
    <t>Среднеспелый (от полных всходов до начала плодоношения 110-115 дней) сорт. Растение сильнорослое, высотой 1,4-1,6 м, раскидистое, ветвистое, отзывчиво на регулярные поливы в период плодоношения. Плоды в биологической спелости зеленые, массой 50-60 г, обладают высокой желирующей способностью (в два раза выше, чем у яблок). Ценность сорта: теневыносливость, плоды обладают противовоспалительными и обезболивающими свойствами. Рекомендуется для приготовления варенья, джемов, солений, маринадов.</t>
  </si>
  <si>
    <t>4690368036757</t>
  </si>
  <si>
    <t>Ц Примула Монмартр 5 шт. (Седек) 201123997</t>
  </si>
  <si>
    <t>Многолетнее травянистое растение среднего срока цветения, известное в народе как первоцвет, используется для выращивания в открытом грунте и в горшках в комнатных условиях. Кустик компактный, высотой 12-15 см. Обильно покрыто крупными цветками диаметром 6-7 см, так, что почти не видно листьев, необычной окраски: (напоминают окраску тагетеса) от желто-коричневого, оранжево-коричневого до коричневого с оранжевой каймой.</t>
  </si>
  <si>
    <t>4690368006095</t>
  </si>
  <si>
    <t>Чабер Перечный аромат (Седек)</t>
  </si>
  <si>
    <t>Среднеспелый (46-57 дней) сорт. Растение высотой 30-40 см, шаровидное, плотное. Стебель разветвленный, покрыт короткими волосками. Листья темно-зеленые, ланцетные. Цветки мелкие, сиреневые. Всё растение имеет стойкий перечный аромат. По вкусу напоминает жгучий перец. Масса одного растения 120 г. Урожайность 1,7 кг/м2. Ценность культуры: содержит эфирные масла, дубильные вещества, аскорбиновую кислоту, рутин, каротин. Имеет бактерицидные, болеутоляющие свойства при желудочно-кишечных заболеваниях, возбуждает аппетит, является отличным средством против глистов. Используется в свежем и сушеном виде как пряная приправа к салатам, супам, овощным блюдам, для ароматизации уксусов  и маринадов.</t>
  </si>
  <si>
    <t>4640001820243</t>
  </si>
  <si>
    <t>Капуста б/к Доброводская 0,2 гр. (Сем) 304506825</t>
  </si>
  <si>
    <t>Семко</t>
  </si>
  <si>
    <t>Капуста Доброводская - среднепоздний сорт белокочанной капусты с очень крупными кочанами.. Лучший сорт капусты для квашения! От высадки 45-дневной рассады до технической спелости 110–120 дней. Розетка листьев полуприподнятая. Листья средние, зеленые, со средним восковым налетом. Кочаны округлые, среднеплотные, на разрезе белые, массой свыше 6 кг. Внутренняя кочерыга средняя. Содержание сахаров высокое. Вкусовые качества и товарность хорошие. Предназначен для потребления в свежем виде и кратковременного хранения. Капуста Доброводская - один из лучших сортов для квашения на протяжении многих лет. Схема посадки 60х50 см. Урожайность 12–14 кг/м2.</t>
  </si>
  <si>
    <t>4640001820953</t>
  </si>
  <si>
    <t>Капуста б/к Киластоп 0,1 гр. (Семко)</t>
  </si>
  <si>
    <t>УНИКАЛЬНЫЙ ГИБРИД РОССИЙСКОЙ СЕЛЕКЦИИ, ОБЛАДАЮЩИЙ ГЕНЕТИЧЕСКОЙ УСТОЙЧИВОСТЬЮ К КИЛЕ КРЕСТОЦВЕТНЫХ, новинка сезона 2020. Поздний, от высадки 45-дневной рассады до уборки 120-130 дней. Растение крупное с мощной розеткой зелёных листьев с средним восковым налётом (маркерный признак – по краям листьев возможна слабая желтизна). Наружная и внутренняя кочерыги средние. Кочан округлой формы, частично покрытый, очень плотный, массой 3-4 кг, на разрезе белый. Требователен к плодородию почвы, нуждается в усиленном азотном питании в фазу роста и калийном - в фазу формирования кочана. Генетически устойчив к киле крестоцветных (Pb 1-2), фузариозному увяданию (Foс), в период хранения - к серой и белой гнилям.</t>
  </si>
  <si>
    <t>4640001820366</t>
  </si>
  <si>
    <t>Капуста б/к Мишутка 0,2 гр. (Сем)</t>
  </si>
  <si>
    <t>Среднеспелый гибрид белокочанной капусты, сортотип Белорусская. От высадки 45-дневной рассады до уборки 75–85 дней. Розетка листьев некрупная, вертикальная, лист средний, слабопузырчатый, темно-зеленый со слабым восковым налетом. Кочан овально-округлый, массой от 2 до 3,5 кг, плотный. Наружная кочерыга средней длины, внутренняя – короткая. Кроющие кочан листья зеленые, внутренние – белой окраски, тонкие. Отличается прекрасными вкусовыми качествами. Товарность высокая.</t>
  </si>
  <si>
    <t>4640001820182</t>
  </si>
  <si>
    <t>Капуста б/к Пруктор F1 0,1гр (Сем)</t>
  </si>
  <si>
    <t>Среднепоздний гибрид белокочанной капусты. От высадки 45-дневной рассады до технической спелости 73–75 дней. Розетка листьев приподнятая до горизонтальной. Листья средние, серо-зеленые с восковым налетом средней интенсивности, пузырчатые, слабоволнистые. Кочан округло-вытянутой формы, покрытый, плотный, на разрезе беловатый, массой 3–5 кг. Внутренняя кочерыга короткая. Гибрид холодостойкий и жаростойкий. Вкусовые качества свежей и квашеной продукции отличные. Товарность высокая.</t>
  </si>
  <si>
    <t>4640001820014</t>
  </si>
  <si>
    <t>Капуста б/к Семко Юбилейный 217 0,2 гр.(Сем) 304511539</t>
  </si>
  <si>
    <t>Среднеспелый гибрид белокочанной капусты От высадки 45-дневной рассады до уборки 90–95 дней. Розетка приподнятая, среднего размера. Листья средние, серо-зеленые с сильным восковым налетом, выпуклые, слабопузырчатые. Кочан округлой и овально-округлой формы, светло-серо-зеленый с сильным восковым налетом, полуприкрытый, на разрезе – белый, очень плотный, массой 2,5–4,0 кг. Дружносозревающий, устойчив к растрескиванию, товарность высокая, транспортабельный. Урожайность 8–10 кг/м2.</t>
  </si>
  <si>
    <t>4640001820069</t>
  </si>
  <si>
    <t>Капуста б/к Старт 0,3 гр. (Сем)</t>
  </si>
  <si>
    <t>Супперранний гибрид. Кочан округлый, светло-зеленой окраски, массой 1,2-1,5кг, средней плотности, с короткой внутренней кочерыгой. Вкусовые качества в свежем виде отличные. Гибрид устойчив к возбудителям основных болезней.</t>
  </si>
  <si>
    <t>4640001821318</t>
  </si>
  <si>
    <t>Огурец Борисыч 10 шт. (Сем) 303761157</t>
  </si>
  <si>
    <t>Среднеранний партенокарпический гибрид салатного назначения. От всходов до начала плодоношения 45–50 дней. Гибрид женского типа цветения. Растение средневетвистое, в одном узле образуется одна-две завязи. Плоды удлиненно-цилиндрические, длиной 16–20 см, массой 170–190 г, темно-зеленые с короткими полосами, среднеплотные, белошипые, слаборебристые, бугорчатые, шейка короткая, генетически без горечи. Вкус отличный, товарность высокая, транспортабельность хорошая. Предназначен для свежего потребления. Урожайность свыше 19 кг/м2.</t>
  </si>
  <si>
    <t>4640001821745</t>
  </si>
  <si>
    <t>Огурец Бьерн * 5 шт. (Сем) 387101786</t>
  </si>
  <si>
    <t>Ранний партенокарпический гибрид с пучковым плодоношением для парников, теплиц и открытого грунта, лидер по отдаче раннего урожая. От всходов до плодоношения 39–42 дня. Растение средневетвистое, с медленным развитием боковых побегов, лист крупный. В одном узле формируется 2–3 завязи. Плоды цилиндрические, темно-зеленые среднебугорчатые, белошипые, длиной 9–11 см, массой 90–100 г. Вкус отличный, товарность высокая. Огурец Бьерн F1 устойчив к мучнистой росе (Px), кладоспориозу (Ccu), вирусу огуречной мозаики (CMV), вирусу пожелтения сосудов огурца (CVYV). Стрессоустойчивый, теневыносливый. Рекомендуется для защищенного и открытого грунта. Используется для потребления в свежем виде, консервирования и засолки. Плотность посадки 3–3,5 раст./м2. Урожайность в открытом грунте 13–14 кг/м2, в защищенном грунте – свыше 20 кг/м2.</t>
  </si>
  <si>
    <t>4640001821202</t>
  </si>
  <si>
    <t>Огурец Паратунка 5 шт. F1 (Семко) 264821282</t>
  </si>
  <si>
    <t>Гибрид раннеспелый. От всходов до начала плодоношения 40-43 дня. Растение среднерослое. Плод цилиндрический с короткой шейкой, белошипый, слаборебристый, среднебугорчатый, длиной 8-10 см, диаметром 2-3 см, массой 80-100 г, без горечи. В одном узле формирует 2 - 3 плода.Отлично переносит температурные стрессы.</t>
  </si>
  <si>
    <t>4640001821295</t>
  </si>
  <si>
    <t>Огурец Пасадобль * 10 шт. (Сем) 387105292</t>
  </si>
  <si>
    <t>Короткоплодный, раннеспелый, от всходов до начала плодоношения 41-43 дня. Гибрид женского типа цветения. Плоды цилиндрические, крупнобугорчатые, тёмно-зелёные с небольшими полосами, массой 80-105 г, не перерастают, без горечи. Товарность и транспортабельность высокие. Вкусовые качества свежих и консервированных плодов отличные. Огурец устойчив к мучнистой росе и ВОМ-1. Лучший для засола.</t>
  </si>
  <si>
    <t>4640001821226</t>
  </si>
  <si>
    <t>Огурец Ритм 5 шт. (Сем) 340341079</t>
  </si>
  <si>
    <t>Гибрид раннеспелый. От всходов до начала плодоношения 39–41 день. Растение мощное с укороченными междоузлиями и активным образованием боковых побегов. Плоды цилиндрической формы, длиной до 12 см, массой 80–100 г, бугорчатые, белошипые, не перерастают, без горечи.</t>
  </si>
  <si>
    <t>4640001821776</t>
  </si>
  <si>
    <t>Огурец Саввин 5 шт. (Сем) 303602037</t>
  </si>
  <si>
    <t>Ранний партенокарпический гибрид для защищенного и открытого грунта корнишонного типа с пучковым плодоношением. От всходов до начала плодоношения 39-41 день. Растение сильное с укороченными междоузлиями. Плод цилиндрический, длиной 9-11 см, массой 90-100 г, бугорчатый, белошипый, тёмно-зелёный, не перерастает, генетически без горечи. В одном узле формируется 2-3 плода. Отличается хорошей завязываемостью плодов, толерантностью к пониженным температурам. Вкусовые качества свежих и консервированных плодов отличные. Товарность и транспортабельность хорошая. Огурец Саввин F1 устойчив к вирусам огуречной мозаики (CMV) и пожелтения сосудов огурца (CVYV), кладоспориозу (Ccu) и мучнистой росе (Px).</t>
  </si>
  <si>
    <t>4640001820038</t>
  </si>
  <si>
    <t>Огурец Темп * 5 шт. (Сем) 387105293</t>
  </si>
  <si>
    <t>Гибрид раннеспелый. От всходов до начала плодоношения 42-44 дня. Предназначен для производства пикулей (длина зеленца 3-5 см). Плод генетически без горечи, длиной 5-7 см, диаметром 1,6-2,0 см. Массой 70-80 г, с пучковым плодоношением, цилиндрический, бугорчатый, белошипый, зеленый с продольными полосами, не перерастает. Жаростойкий. В одном узле формирует 3-5 плодов. Вкусовые качества отличные. Пригоден для засола и консервирования. Транспортабельность хорошая. Устойчив к кладоспориозу и мучнистой росе, относительно к ВОМ-1 и пероноспорозу. Общая урожайность 11-15 кг/м2, при сборе пикулей - 5-7 кг/м2.</t>
  </si>
  <si>
    <t>4640001824692</t>
  </si>
  <si>
    <t>Перец Алеша Попович 0,2 гр (Сем)</t>
  </si>
  <si>
    <t>Перец Алеша Попович среднеспелый сорт для выращивания в открытом грунте. От всходов до технической спелости 100–105 дней, до биологической 120–125 дней. Растение слабооблиственныое, штамбовое, довольно высокорослое, с крепким стеблем. На растении одновременно формируется 4–5 плодов. Перцы пониклые, прямоугольной формы с длинной плодоножкой, гладкие, глянцевые, без поперечной ребристости, довольно крупные, массой 160–170 г, толщина стенки 6–8 мм. Окраска плода в технической спелости светло-зеленая, в биологической – красная. Урожайность 4,6–5 кг/м2.</t>
  </si>
  <si>
    <t>4640001824685</t>
  </si>
  <si>
    <t>Перец Добрыня Никитич 0,2 гр. (Сем)</t>
  </si>
  <si>
    <t>Перец Добрыня Никитич - ранний сорт для открытого грунта. От всходов до технической спелости 95–100 дней, до биологической 115–120 дней. Растение штамбовое, низкокорослое, с крепким стеблем, слабооблиственное, букетного плодоношения. Специальной формировки и подвязки не требуется. На растении одновременно формируется 4–5 плодов. Перцы кубовидной формы, пониклые, глянцевые, без поперечной ребристости, массой 120 г, толщина стенки 5–6 мм. Окраска плода в технической спелости кремовая, в биологической – красная. Урожайность 3,6–4 кг/м2.</t>
  </si>
  <si>
    <t>4640001824616</t>
  </si>
  <si>
    <t>Перец Забор желтый (Сем) 291528235</t>
  </si>
  <si>
    <t>Ранний гибрид для стеклянных и пленочных теплиц, а также для открытого грунта. От всходов до технической спелости 95-105 дней, до биологической 110-120 дней. Растение индетерминантное, высоты свыше 2 метров достигает на 125-130 день от всходов, обычно формируется в 3-4 стебля. Если дать растению развиваться самостоятельно, бывает до 6-7 стеблей. Плоды узкотреугольные, характерные для сортотипа Капия, длиной 16-18 см, в диаметре 4 см, массой 100-120 г, плотные, светло-зелёные в технической спелости, жёлтые в биологической. Толщина стенки 4-5 мм. Вкусовые качества плодов отличные. Устойчив к вирусу табачной мозаики (TMV 0-2) и вирусу бронзовости (TSWV). Устойчив к температурным стрессам. Рекомендуется для выращивания во всех типах теплиц и в открытом грунте (южные регионы) с подвязкой к опоре. Плотность посадки 2-2,5 раст./м2. Урожайность свыше 10 кг/м2. Более прохладные температуры удлиняют срок вегетации, но увеличивают урожайность.</t>
  </si>
  <si>
    <t>4640001824814</t>
  </si>
  <si>
    <t>Перец Забор красный (Сем) 266014657</t>
  </si>
  <si>
    <t>Ранний гибрид для стеклянных и пленочных теплиц, а также для открытого грунта. От всходов до технической спелости 90-100 дней, до биологической 105-115 дней. Растение индетерминантное, высоты свыше 2 метров достигает на 120-125 день от всходов, обычно формируется в 3-4 стебля. Если дать растению развиваться самостоятельно, бывает до 6-7 стеблей. Плоды узкотреугольные, характерные для сортотипа Капия, длиной 15-17 см, в диаметре 3-4 см, массой 90-120 г, плотные, светло-зелёные в технической спелости, красные в биологической. Толщина стенки 4-5 мм. Вкусовые качества плодов отличные. Урожайность свыше 10 кг/м2.</t>
  </si>
  <si>
    <t>4640001820960</t>
  </si>
  <si>
    <t>Перец Забор оранжевый (Сем)</t>
  </si>
  <si>
    <t>Ранний гибрид. От всходов до технической спелости 90-95 дней, до биологической 105-110 дней. Растение индетерминантное, высокорослое, обычно формируется в 3-4 стебля. При свободном развитии без формировки бывает до 6-7 стеблей. Плоды узкотреугольные, характерные для сортотипа Капия, длиной 15-17 см, в диаметре 4 см, массой 90-100 г, плотные, тёмно-зелёные в технической спелости, оранжевые в биологической. Толщина стенки перца 4-5 мм. Вкусовые качества плодов отличные. Устойчив к вирусу табачной мозаики (TMV), вертициллёзу (Va, Vd). Устойчив к температурным стрессам. Рекомендуется для выращивания во всех типах теплиц и в открытом грунте (южные регионы) с подвязкой к опоре. Плотность посадки 2-2,5 раст./м2. Урожайность свыше 10 кг/м2. Более прохладные температуры удлиняют срок вегетации, но увеличивают урожайность.</t>
  </si>
  <si>
    <t>4640001828775</t>
  </si>
  <si>
    <t>Перец Злата Прага (Сем)</t>
  </si>
  <si>
    <t>Сладкий перец «Злата Прага F1»: маленький куст – большой урожай
Гибрид раннеспелый. Растение высотой 50-70см, штамбовое, сомкнутое, не требует формировки. Плоды пониклые, 3-камерные, глянцевые, длиной до 15см, диаметром до 7см, массой 130-140гр, толщина стенки 5-6мм.</t>
  </si>
  <si>
    <t>4640001824906</t>
  </si>
  <si>
    <t>Перец Игало (Сем) 318775112</t>
  </si>
  <si>
    <t>Ранний гибрид для выращивания в теплицах или открытом грунте с подвязкой к опоре. От всходов до технической спелости 105–110 дней, до биологической спелости 125–130 дней Растение с компактным габитусом индетерминантное, при формировании в 2–3 стебля высота достигает 1,5–2 м. Перцы кубовидной формы, крупные, размером 12х12 см, массой 200–220 г, в технической спелости темно-зеленые, в биологической – насыщенно желтые, плотные, глянцевые. Толщина стенки плода 8,5–9 мм. Вкус отличный, товарность высокая.</t>
  </si>
  <si>
    <t>4640001824678</t>
  </si>
  <si>
    <t>Перец Илья Муромец 0,2 гр. (Сем)</t>
  </si>
  <si>
    <t>Среднеспелый сорт для открытого грунта. От полных всходов до технической спелости 110–120 дней, до биологической 130–140 дней. Растение штамбовое, среднерослое, специальной формировки не требуется. На растении одновременно формирует 2–3 крупных плода. Перцы от прямоугольной до трапециевидной формы, пониклые, массой 180–300 г, гладкие, глянцевые, без поперечной ребристости, толщина стенки 5,5 мм. Окраска плода в технической спелости зеленая, в биологической – красная.</t>
  </si>
  <si>
    <t>4640001824548</t>
  </si>
  <si>
    <t>Перец Индало (Сем) 266015617</t>
  </si>
  <si>
    <t>Гибрид среднеранний. От всходов до техниче­ской спелости 110-120 дней. Растение высотой 110-120 см. Плоды крупные, кубовидной формы красивого ярко-желтого цвета, масса свыше 280 г. Толщина стенки плода до 10 мм. Устойчив к вирусу табачной мозаики. Предназначен для выращивания во всех типах теплиц. Семена прорастают за 15-20 дней при температуре 23-25°С Оптимальный возраст рассады для высадки на постоянное место 50-60 дней. Плотность посадки 3 растения на 1 м2. Урожайность в зависимости от условий выращивания 7-14 кг/м2.</t>
  </si>
  <si>
    <t>4640001824524</t>
  </si>
  <si>
    <t>Перец Латино F1 5шт. (Семко) 291549985</t>
  </si>
  <si>
    <t>Сорт болгарского перца «Латино» является раннеспелым гибридом. От появления первых всходов до процесса технической спелости может пройти около четырех месяцев. Растения достигают в высоту до одного метра. Плоды имеют кубовидную форму и ярко-красный цвет, а в массе достигают до 180-210 грамм. Толщина стенок плодов до 10 мм. Перец «Латино» устойчив к болезни табачной мозаики такжеи к вирусу картофеля. Урожай плодов достигает 7-16 кг/м2, это зависит от определенных условий выращивания.</t>
  </si>
  <si>
    <t>4640001824562</t>
  </si>
  <si>
    <t>Перец Оранжевый Ламуйо от Юрия 5 шт. (Сем)</t>
  </si>
  <si>
    <t>Среднеранний крупноплодный гибрид для стеклянных и пленочных теплиц. Гибрид среднеранний. От всходов до технической спелости 95-110 дней, до биологической 120-135 дней. Растение высотой 1,5-2 м. Плоды призмовидные, гладкие, блестящие, массой 180-220 г, размером 11х18 см, в технической спелости зелёные, в биологической - ярко-оранжевого цвета. Толщина стенки 8-9 мм. Вкус отличный. Товарность высокая, плоды лёжкие. Гибрид теневынослив, толерантен к пониженным температурам. Устойчив к вирусу табачной мозаики (TMV 1-2), толерантен к вирусу бронзовости (TSWV). Предназначен для выращивания в теплицах.</t>
  </si>
  <si>
    <t>4640001824593</t>
  </si>
  <si>
    <t>Перец Юбилейный Семко (Сем) 340317769</t>
  </si>
  <si>
    <t>Ранний гибрид для выращивания в открытом грунте и теплицах. От всходов до технической спелости 92–105 дней, до биологической – 112–125 дней. Растение высотой 50–60 см, компактное, штамбовое, формирования не требуется. Перцы усеченно-пирамидальной формы с небольшой продольной ребристостью, в технической спелости – светло-зеленые, в биологической – красные. Масса перцев в технической спелости 80–100 г, в биологической – 120–150 г. Толщина стенки 5–8 мм. Урожайность 5–7 кг/м2, в теплице 8–9 кг/м2.</t>
  </si>
  <si>
    <t>4640001822025</t>
  </si>
  <si>
    <t>Томат Анюта F1 0,1 гр. (Сем) 286029253</t>
  </si>
  <si>
    <t>Раннеспелый, детерминантный сорт, для выращивания в открытом и защищенном грунте. Плод округлый и плоскоокруглый, плотный, красные, без зелёного пятна у плодоножки, массой 110-120 г. Высота растения 60-70 см. Устойчив к вирусу томатной мозаики, чёрной бактериальной пятнистости, альтернариозу и фузариозу. Ценится за стабильную урожайность, пластичность, хорошие вкусовые качества плодов.</t>
  </si>
  <si>
    <t>4640001827471</t>
  </si>
  <si>
    <t>Томат Без кожи (Сем) 340415349</t>
  </si>
  <si>
    <t>Ранний индетерминантный гибрид для выращивания во всех типах теплиц и в открытом грунте с подвязкой к опоре. От всходов до созревания 85-90 дней. Растение компактное со светлыми листьями и укороченными междоузлиями. Первое соцветие закладывается над 7-9 листом. Кисти простые и сложные, средней плотности. Плоды округлые, чрезвычайно блестящей яркой тёмно-красной окраски, двухкамерные, массой 16-20 г. Отличительная особенность этого гибрида томата – плоды имеют очень тонкую кожицу нежной текстуры, которая не ощущается при их употреблении. Как будто томаты без кожи. Мякоть сочная, с очень высоким содержанием сахаров. Вкус отличный, насыщенный. Дружносозревающий. Уникальное качество для употребления в свежем виде. Рекомендован для теплиц всех типов и открытого грунта с подвязкой к опоре.</t>
  </si>
  <si>
    <t>4640001828478</t>
  </si>
  <si>
    <t>Томат Бокеле F1 (Семко) 319517794</t>
  </si>
  <si>
    <t>Гибрид раннеспелый, детерминантный. От всходов до созревания 85-90 дней. Растение компактное, высотой 65-75 см. Соцветия простые и сложные с 6-12 цветками. Плоды округлые, гладкие, тёмно-розовые, без зелёного пятна у плодоножки, массой 110-120 г, плотные, с нежной и вкусной мякотью. Характеризуется высокой дружностью цветения, завязывания и плодоношения, товарностью и транспортабельностью. Гибрид устойчив к вирусу томатной мозаики, бактериозу, альтернариозу, фузариозу, толерантен к фитофторозу. Рекомендуется для выращивания в открытом грунте и пленочных теплицах в весенне-летнем и летне-осеннем обороте. При выращивании в плёночной теплице растения лучше формировать в 2-3 стебля, при этом боковые пасынки удаляют только до 1-й кисти. Схема посадки 90х30 см. Урожайность в открытом грунте 8-10кг/м2, в плёночной теплице 15-17кг/м2.</t>
  </si>
  <si>
    <t>4640001822827</t>
  </si>
  <si>
    <t>Томат Гроздевой F1 5 шт (Семко) 266257963</t>
  </si>
  <si>
    <t>Гибрид кистевого типа, индетерминантный, ско­роспелый. От всходов до созревания 100-105 дней. Растение сильнорослое. Первая кисть за­кладывается над 9-11 листом, последующие че­рез 2-3 листа. Плод удлиненно-овальной формы с носиком, массой 80-120 граммов, насыщенно красного цвета. В кисти одновременно созревает 8-9 плодов. Вкусовые качества отличные. Гибрид жаростойкий и устойчив к температурным стрес­сам. Товарность и транспортабельность высокие. Повышенная устойчивость к нематоде, вирусу то­матной мозаики, вертициллёзному и фузариоз-ному увяданию. Урожайность свыше 20 кг/м2</t>
  </si>
  <si>
    <t>4640001826795</t>
  </si>
  <si>
    <t>Томат Зета (Сем) 303596532</t>
  </si>
  <si>
    <t>Ранний гибрид для открытого грунта и пленочных теплиц. От всходов до начала созревания 90–95 дней. Растение высотой 60-70 см, среднеоблиственное. Первая кисть закладывается над 5-6 листом, последующие через 1-2 листа. Кисть простая с 5–6 плодами. Плод округлый, гладкий, плотный, массой 130-150 г, в технической фазе спелости зеленовато-белёсый, в биологической красный, без зелёного пятна у плодоножки. Рекомендуется для выращивания в открытом грунте и плёночных необогреваемых теплицах. Урожайность в открытом грунте свыше 10 кг/м2, в плёночной теплице 17–20 кг/м2.</t>
  </si>
  <si>
    <t>4640001824234</t>
  </si>
  <si>
    <t>Томат Ирин 60 (Сем)</t>
  </si>
  <si>
    <t>Ранний, индетерминантный гибрид LSL-типа для теплиц и открытого грунта,. От всходов до первого сбора помидоров 85-90 дней. Растение сильного типа, со средними междоузлиями. В кисти формируется 10-15 плодов. Из-за стрессов в период выращивания формирует сложные кисти. Томаты округлые и округло-овальные, массой 25-35 г, насыщенного желто-оранжевого цвета, плотные , устойчивые к растрескиванию. Вкусовые качества отличные, содержания сахара в плодах не менее 8%. Плоды сохраняют товарные качества через 35-40 дней после уборки. Урожайность свыше 20 кг/м2.</t>
  </si>
  <si>
    <t>4640001822605</t>
  </si>
  <si>
    <t>Томат Касталиа F1 5шт (Семко)</t>
  </si>
  <si>
    <t>Гибрид среднеранний, индетерминантный. От всходов до созревания 110-115 дней. Рекомендован для зимне-весеннего и продленного оборотов. Первое соцветие закладывается после 8-9-го листа, последующее через 3 листа. Среднее количество плодов в соцветии 6-7, залом кисти отсутствует. Плод плоскоокруглый, гладкий, основание со слабым углублением, плотный, массой 180-240 г. Окраска незрелого плода зеленая, зрелого- красная. Вкусовые качества отличные. Устойчив к вертициллезу, фузариозу, бактериальной пятнистости и нематоде. Урожайность 20-22 кг/м2.</t>
  </si>
  <si>
    <t>4640001822032</t>
  </si>
  <si>
    <t>Томат Катя (Сем) 286032095</t>
  </si>
  <si>
    <t>Гибрид ультраранний, от всходов до созревания 75-80 дней. Высота растения 60-70 см. Соцветие простое с 7-8 плодами. Пер­вое соцветие закладывается над 5-6 листом. Плод округлый и плоскоокруглый, гладкий, плотный, красный, без зелёного пятна у плодоножки, массой 110-130 г с отличными вкусовыми качествами. От­личается дружностью плодоношения в любых усло­виях выращивания. Устойчив к растрескиванию и вершинной гнили плодов, толерантен к ВТМ, аль­тернариозу и фитофторозу. Норма высадки 5,5-5,7 растений/м2 с формировкой в 2-3 стебля. Реко­мендуется для раннего производства томатов в от­крытом грунте. Урожайность в открытом грунте 8,0-10,5 кг/м% в пленочных теплицах 12,5-14,8 кг/м2.</t>
  </si>
  <si>
    <t>4640001822414</t>
  </si>
  <si>
    <t>Томат Кистевой удар F1 5 шт (Сем) 303596532</t>
  </si>
  <si>
    <t>Гибрид раннеспелый, индетерминантный, кистевого типа. От всходов до созревания 95-105 дней. Растение компактное, среднеоблиственное. Первое соцветие закладывается над 9-11 листом, последующие - через 3 листа. Соцветие простое с 6-7 плодами. Плоды округлые, насыщенной красной окраски без зелёного пятна, гладкие, плотные, массой 130-150 граммов. Отличается хорошим вкусом, товарностью и транспортабельностью. Устойчив к вирусу бронзовости томата (TSWV), вирусу томатной мозаики (TоMV), вирусу желтого скручивания листьев (TYLCV), фузариозному увяданию (Fol 1-2) и к галловым нематодам (Mi, Ma). Предназначен для уборки кистями, но возможно и отдельными плодами. Вкусовые и товарные качества сохраняются в течение 20-30 дней после уборки. Используется для потребления в свежем виде.Рекомендуется для выращивания во всех типах теплиц. Густота посадки 2,5-3 раст./м2, схема посадки 70х40 см. Урожайность</t>
  </si>
  <si>
    <t>4640001822629</t>
  </si>
  <si>
    <t>Томат Кохава F1 5 шт. (Сем) 319503147</t>
  </si>
  <si>
    <t>Гибрид раннеспелый, индетерминантный. От всходов до созревания 85-90 дней. Растение вегетативного типа густо­облиственное. Первое соцветие закладывается над 7-9 м листом. В кисти формируется 5-6 плодов плоскоокруглых плотных плодов, насыщенного красного цвета, массой 180-200 г. Гибрид отличается хорошей завязываемостью плодов при высоких и низких температурах. Вкус и товарность отлич­ные, лёжкость и транспортабельность плодов хорошие. Гибрид устойчив к вирусам томатной мозаики, бронзовости и жёлтого скручивания листьев, вертициллёзу и фузариозу, фузариозной корневой гнили, кладоспориозу и к галловым нематодам. Предназначен для потребления в свежем виде. Гибрид приго­ден для продлённого культурооборота. Рекомендуемая плот­ность посадки 2,4-2,5 растения/м2. Урожайность 32-34 кг/м2.</t>
  </si>
  <si>
    <t>4640001822452</t>
  </si>
  <si>
    <t>Томат Луштица (Сем)</t>
  </si>
  <si>
    <t>Ранний, индетерминантный гибрид со сливовидными плодами. От всходов до созревания 100–105 дней. Первое соцветие закладывается над 7–9 листом. В кисти 7–9 плодов, длиной 8–10 см, массой 120–140 г, в технической спелости с зеленым пятном у плодоножки, в биологической – золотисто-оранжевой окраски без пятна, гладкие, плотные. Уборка возможнв как кистями, так и отдельными плодами. Помидор отличается повышенным содержанием бета-каротина, высоким содержанием сахаров и отличным сладко-кислым вкусом. Стрессоустойчивый. Рекомендуется для выращивания в пленочных теплицах или в открытом грунте с подвязкой к опоре. Урожайность свыше 20 кг/м2.</t>
  </si>
  <si>
    <t>4640001822490</t>
  </si>
  <si>
    <t>Томат Малвазия F1 5шт (Семко) 319508433</t>
  </si>
  <si>
    <t>Гибрид Малвазия среднеранний, индетерминантный. От всходов до созревания 110-115 дней. Растение сильнорослое. Первое соцветие закладывается после 7-9 листа, последующие через 3 листа. В кисти формируется 5-6 плодов с длинными чашелистиками. Плоды плоскоокруглые, слегка ребристые, плотные, красивого красного цвета, массой 220-250 г. Вкусовые качества отличные, товарность, лёжкость и транспортабельность очень высокие Гибрид хорошо завязывает плоды при высоких температурах. Устойчив к вирусу томатной мозаики, фузариозу, кладоспориозу, вертициллёзу, вирусу бронзовости, фузариозной корневой гнили и к галловой нематоде. Рекомендуется для выращивания во всех типах теплиц Урожайность F1 Малвазия свыше 36 кг/м2.</t>
  </si>
  <si>
    <t>4640001828577</t>
  </si>
  <si>
    <t>Томат Маленькая звезда (Сем) 286037855</t>
  </si>
  <si>
    <t>Ранний низкорослый гибрид томата черри. От всходов до первого сбора 75-80 дней. Растение детерминантное (мини штамб) высотой 30-40 см, формирования не требуется. Листья тёмно-зелёные, картофельного типа. Идеально подходит для горшечной культуры. На растении обычно 6-7 простых кистей. В кисти завязывается 6-8 помидоров ярко-красной окраски, массой 20-25 г. Вкусовые качества отличные. Рекомендуется для выращивания как в открытом грунте, так и во всех типах теплиц. Урожайность с одного растения 0,8-1,4 кг.</t>
  </si>
  <si>
    <t>4640001822391</t>
  </si>
  <si>
    <t>Томат Оранжевый Спам F1 10 шт (Семко) 286734074</t>
  </si>
  <si>
    <t>Гибрид F1 Оранжевый Спам — раннеспелый, индетерминантный: от всходов до созревания 100-105 дней. Первое соцветие закладывается над 7-9 листом. В кисти формируется 5-6 плодов округлосердцевидных, оранжевых (с небольшим зелёным пятном), плотных, гладких, массой 160-180 г. Гибрид устойчив к растрескиванию и температурным стрессам, толерантен к засолению почвы. Вкус отличный, товарность высокая. Плоды отличаются повышенным содержанием сухого вещества, бета-каротина и витамина С. Гибрид устойчив к вирусу томатной мозаики (ToMV), бактериальной пятнистости листьев (Pst), кладоспориозу (Ff), вершинной и корневой (For) гнилям.</t>
  </si>
  <si>
    <t>4640001824067</t>
  </si>
  <si>
    <t>Томат Пасхальное яйцо (Сем) 340403512</t>
  </si>
  <si>
    <t>Среднеранний индетерминантный гибрид для выращивания во всех типах теплиц. От всходов до созревания 100-105 дней. Растение генеративного типа, с укороченными междоузлиями. Первая кисть закладывается над 7-9 листом. В кисти образуется 7-9 плодов. Плод яйцевидной формы, насыщенно-коричневого цвета, массой 120-130 г, плотный и лежкий. Отличается хорошей завязываемостью плодов. Вкусовые качества плодов отличные, плоды имеют повышенное содержание ликопина. Урожайность свыше 22 кг/м2.</t>
  </si>
  <si>
    <t>4640001826092</t>
  </si>
  <si>
    <t>Томат Редхолли (Сем) 319516678</t>
  </si>
  <si>
    <t>Ранний индетерминантный гибрид LSL типа для защищенного грунта. От всходов до созревания 85-90 дней. Растение генеративного типа, с короткими междоузлиями. Первое соцветие закладывается после 9 листа. В кисти 6-7 плодов. Плод плоскоокруглый, плотный, без ребристости, насыщенного красной окраски, массой 140-150 г. Хорошо завязывает плоды при любых погодных условиях. Вкус отличный. Товарные качества плодов сохраняются до 30 дней после их уборки, транспортабельный. Используется для свежего потребления. Рекомендуется для выращивания в теплицах и открытом грунте с подвязкой к опоре. Урожайность свыше 20 кг/м2.</t>
  </si>
  <si>
    <t>4640001822834</t>
  </si>
  <si>
    <t>Томат Розовая Катя 0,05 гр. (Сем) 286034690</t>
  </si>
  <si>
    <t>Гибрид Розовая Катя раннеспелый, детерминантный. От всходов до созревания 80-85 дней. Растение высотой 60-70 см. Соцветие с  5-6 плодами. Плоды округлые,  массой    120 – 130 г, плотные,  гладкие, без зелёного пятна, с сочленением  с  плодоножкой, устойчивы к растрескиванию, лёжкие, транспортабельные. В  технической  фазе спелости плоды светло-зелёные, в биологической – розовые.  Гибрид  отличается высокой  дружностью плодоношения. Вкусовые качества  плодов  отличные. Жаростойкий. Устойчив к вирусу томатной мозаики (ToMV), вертициллёзу (Va,Vd), фузариозу (Fol 1-2), альтернариозу (Asc), фузариозной гнили корней (For). Схема посадки 70х30 см. Предназначен  для  открытого  грунта  и  плёночных  теплиц. Урожайность F1 Розовая Катя в  плёночной  теплице - 16-18 кг/м2.</t>
  </si>
  <si>
    <t>4640001822889</t>
  </si>
  <si>
    <t>Томат Розовый Спам F1 10 шт (Семко) 286044656</t>
  </si>
  <si>
    <t>Гибрид раннеспелый, индетерминантный. От всходов до созревания 98-100 дней. Соцветие простое. Первая кисть закладывается над 8-9 лис­том, следующие через 3 листа. Плоды сердцевид­ной формы, розового цвета, гладкие, массой 160-200 граммов. Гибрид отличается высокой завязы-ваемостью плодов, устойчивостью к растрескива­нию и великолепными вкусовыми качествами. Ус­тойчив к вирусу томатной мозаики, кладоспориозу, вертициллёзному увяданию. Используется во всех типах теплиц. Пригоден для выращивания в открытом грунте на шпалерах. Урожайность свыше 20 кг/м2.</t>
  </si>
  <si>
    <t>4640001825613</t>
  </si>
  <si>
    <t>Томат Рубикон (Сем) 303588029</t>
  </si>
  <si>
    <t>Ультраранний, индетерминантный томат черри для всех типов теплиц и открытого грунта. По срокам созревания аналогов среди индетерминантных томатов нет! От всходов до созревания 75-80 дней. Растение, сильное, компактное с укороченными междоузлиями. Первое соцветие закладывается после 7-9 листа. Кисть простая. В кисти формируется до 15 плодов. Помидоры удлиненно-сливовидной формы, слегка ребристые, плотные, красные, массой 25-30 граммов. Вкус отличный, сладко-кислый, сбалансированный. Урожайность в теплице свыше 15 кг/м2.</t>
  </si>
  <si>
    <t>4640001822148</t>
  </si>
  <si>
    <t>Томат Сайт F1 10 шт. (Семко) 286787845</t>
  </si>
  <si>
    <t>Томат Сайт F1 - ранний, детерминантный гибрид для открытого грунта. От всходов до начала плодоношения 85–90 дней. Растение хорошо облиственное, высотой 55–60 см. Кисть с 5–6 плодами. Плоды округлые, гладкие, массой 130–140 г, без зеленого пятна у плодоножки, красные, очень плотные и транспортабельные. Отличается устойчивостью к высоким температурам. Вкусовые качества и товарность высокие. Содержание сухого вещества 5,7–6%, общего сахара 3,6–3,9%, витамина С – 22–23 мг%. Томат Сайт F1 устойчив к вирусу томатной мозаики (ToMV), бактериозу (Pst), альтернариозу (Asc), фузариозу (Fol1–2), относительно устойчив к фитофторозу (Pi). Рекомендован для выращивания в открытом грунте и пленочных теплицах. Оптимальная схема посадки 70х30 см. Используется для свежего потребления, изготовления томатной пасты, консервирования, приготовления томатного сока, пюре и других продуктов. Урожайность свыше 12 кг/м2.</t>
  </si>
  <si>
    <t>4640001822971</t>
  </si>
  <si>
    <t>Томат Семко-18 (Сем) 319489127</t>
  </si>
  <si>
    <t>Гибрид раннеспелый, детерминантный. От всходов до со­зревания 85-90 дней. Предназначен для выращивания в от­крытом грунте и в пленочных теплицах. Растение компактное, слабооблиственное. Первое соцветие закладывается над 5-6 листом. Плод округлый, тёмно-красный, без зелёного пятна у плодоножки, массой 130-140 г, гладкий, плотный, транспорта­бельный. Вкусовые качества плодов отличные. Высокая друж­ность плодоношения в любых условиях выращивания. Устой­чив к вирусу томатной мозаики, вершинной гнили, альтерна-риозу, растрескиванию плодов. Гибрид жаро- и засухоустой­чив. Рекомендуется для раннего производства томатов в от­крытом грунте - 5 раст./м2, в пленочных теплицах - 4 раст./м2 с формировкой в 1 -2 стебля. Урожайность в открытом грунте 10,0-12,5 кг/м2, в пленочных теплицах свыше 14,0 кг/м2. Гибрид назван в честь 18-летия агрофирмы «Семко-Юниор».</t>
  </si>
  <si>
    <t>4640001823022</t>
  </si>
  <si>
    <t>Томат Семко-2010 F1 10 шт. (Семко) 319499539</t>
  </si>
  <si>
    <t>Ранний гибрид для открытого грунта. От всходов до созревания 85–90 дней. Растение компактное, среднеоблиственное. Помидоры округлой формы с заостренной вершиной, темно-красные, без зеленого пятна у плодоножки, гладкие, плотные, массой 120–130 г. Вкусовые качества, товарность и транспортабельность помидоров отличные. Содержание сухого вещества 5,5–6,6%, общего сахара 3,2–4,1%, витамина С 18,2–21,7 мг%. Гибрид жаро- и засухоустойчив, плоды мало растрескиваются и слабо поражаются вершинной гнилью. Томат Семко 2010 F1 устойчив к вирусу томатной мозаики (ToMV), альтернариозу (Asc), фузариозу (Fol 1–2) и бактериальной пятнистости листьев (Pst). Предназначен для выращивания в открытом грунте и пленочных теплицах. Схема посадки 90х25 см. Урожайность в открытом грунте 8,5–10 кг/м2, в пленочных теплицах свыше 14 кг/м2.</t>
  </si>
  <si>
    <t>4640001822797</t>
  </si>
  <si>
    <t>Томат Семко-2015 F1 10 шт (Семко) 319453302</t>
  </si>
  <si>
    <t>Томат Семко 2015 F1 - среднеспелый индетерминантный гибрид томата для теплиц. От всходов до созревания 105–110 дней. Растение среднерослое с укороченными междоузлиями. Первая кисть с 5–7 плодами, закладывается над 7–9 листом. Плод округлый, ярко-красный, без зеленого пятна у плодоножки, плотный, гладкий, массой 140–160 г, не растрескивается. Томат Семко 2015 F1 стрессоустойчив, отличается хорошей завязываемостью плодов. Вкусовые качества отличные, товарность и транспортабельность хорошие. Помидоры могут храниться до 25 дней без изменения товарных и вкусовых качеств. Гибрид устойчив к вирусу томатной мозаики (ToMV), фузариозу (Fol 1–2), вертициллезу (Va, Vd), галловым нематодам (Mi, Ma). Используется для свежего потребления. Рекомендуется для выращивания в пленочных теплицах в весенне-летнем обороте и в открытом грунте с подвязкой к опоре. Урожайность свыше 20 кг/м2.</t>
  </si>
  <si>
    <t>4640001822544</t>
  </si>
  <si>
    <t>Томат Семко-30 (Сем) 319429758</t>
  </si>
  <si>
    <t>Ранний гибрид томата универсального назначения, детерминантный. От всходов до созревания плодов 90-97 дней. Растение высотой 55-70 см, среднеоблиственное. Первая кисть формируется после 6-7 листа, в кисти 4-6 плодов. Помидоры округлые с заостренной вершиной (носиком), многокамерные, гладкие, плотные, массой 160-170 г, насыщенно-красного цвета. Вкусовые качества отличные, товарность высокая. Урожайность за первый месяц плодоношения 10-11 кг/м2, общая урожайность свыше 17 кг/м2.</t>
  </si>
  <si>
    <t>4640001822155</t>
  </si>
  <si>
    <t>Томат Сервер F1 10 шт. (Семко)</t>
  </si>
  <si>
    <t>Раннеспелый детерминантный гибрид томата, от всходов до начала плодоношения 85-90 дней. Растение высотой до 80 см. Кисть с 5-6 плодами. Плоды округлые, красные, без зелёного пятна у плодоножки, массой свыше 130 г, гладкие, плотные. Вкусовые качества высокие. Транспортабельный. Устойчив к вирусу томатной мозаики, альтернариозу и антракнозу. Урожайность в открытом грунте 9,5-10,3 кг/м2, в защищённом грунте 15-17 кг/м2.</t>
  </si>
  <si>
    <t>4640001822483</t>
  </si>
  <si>
    <t>Томат Стрега F1 5 шт (Семко) 286772820</t>
  </si>
  <si>
    <t>Гибрид Стрега раннеспелый, индетерминантный. От всходов до начала плодоношения 90-95 дней. Отличается хорошей завязываемостью плодов при различных температурах. Плод плоскоокруглый, среднеребристый, ярко-красного цвета, массой 250-300 г, плотный. Вкус отличный, товарность и транспортабельность высокие. Устойчив к вирусу томатной мозаики, фузариозу, кладоспориозу, вертициллёзу, вирусу бронзовости, фузариозной корневой гнили и к галловой нематоде. Рекомендуется для выращивания во всех типах теплиц. Урожайность F1 Стрега свыше 36 кг/м2</t>
  </si>
  <si>
    <t>4640001822612</t>
  </si>
  <si>
    <t>Томат Стреза F1 5шт (Сем) 286768291</t>
  </si>
  <si>
    <t>Гибрид среднеранний, индетерминантный. От полных всходов до созревания 94-115 дней. Рекомендуется для выращивания в зимне-весеннем и весенне-летнем обо­ротах. Растение компактное, междоузлия средние. Пер­вое соцветие закладывается над 8-9-м листом, последу­ющие - через 2-3 листа. Плодоножка с сочленением. Плод 4-гнездный, плоскоокруглый, среднеребристый, массой 160-200 г и более. Окраска незрелого плода зелёная, зрелого - красная. Среднее количество плодов в соцветии - 6. Вкусовые качества отличные. Транспортабельный. Устойчив к вирусу томатной мозаики, кладо-спориозу, фузариозу, вертициллёзу и галловой немато­де. Выход товарной продукции 95-97%. Урожайность свыше 25 кг/м2.</t>
  </si>
  <si>
    <t>4640001822254</t>
  </si>
  <si>
    <t>Томат Уникум (Сем) 553057555</t>
  </si>
  <si>
    <t>Ранний, детерминантный гибрид томата черри для открытого грунта. От всходов до созревания 80-85 дней. Растение с хорошим ростом, штамбовое, хорошо облиственное. Томаты цилиндрические, выровненные по форме, тёмно-красные, массой 25-30 граммов. Помидоры очень устойчивы к растрескиванию. Используется для консервирования без кожицы и приготовления томатного пюре, а также для свежего потребления. Пригоден для машинной уборки. Урожайность 6,5-8 кг/м2.</t>
  </si>
  <si>
    <t>4640001822407</t>
  </si>
  <si>
    <t>Томат Хинкали (Сем)</t>
  </si>
  <si>
    <t>Ранний индетерминантный гибрид. От всходов до созревания 90-95 дней. Растение вегетативного типа, междоузлия средние. Первое соцветие закладывается после 7 листа. В кисти формируется 5-6 плодов, ближе к сортотипу Буйволиное Сердце, массой 230-250 г, насыщенно-красного цвета. Плоды сегментированные, многокамерные, плотные. Вкус отличный, оригинальный. Урожайность свыше 22 кг/м2.</t>
  </si>
  <si>
    <t>4640001820106</t>
  </si>
  <si>
    <t>Томат Хинкали коричневый (Сем)</t>
  </si>
  <si>
    <t>Ранний индетерминантный гибрид. От всходов до созревания 85-90 дней. Растение генеративного типа, междоузлия средние. Соцветие простое, первая кисть с 4-5 плодами закладывается над 7 листом. Помидоры ближе к сортотипу Буйволиное Сердце, массой до 250 г, плотные, практически без пустот, коричневой окраски, с зелёным пятном у плодоножки. При полном созревании имеют красивую амарантовую окраску. Плоды устойчивы к перезреванию и растрескиванию, лёжкие. Вкус отличный, сбалансированный по содержанию сахаров и кислотности. Отличается высокой завязываемостью плодов, стрессоустойчивый. Урожайность свыше 22 кг/м2.</t>
  </si>
  <si>
    <t>4640001822940</t>
  </si>
  <si>
    <t>Томат Черри Ира F1 5шт (Семко) 553115635</t>
  </si>
  <si>
    <t>Ранний индетерминантный гибрид для защищенного грунта, который можно также отнести к группе кистевых томатов. Растение среднерослое, формируют в один или два стебля. От всходов до первого сбора плодов 90–95 дней. Плоды овально-кубовидные с «носиком», насыщенно-красного цвета массой 30–35 г. В кисти в среднем 20–25 плодов. Уборка проводится целыми  кистями или отдельными плодами. Устойчив к растрескиванию, жаростойкий. Урожайность свыше 15 кг/м2.</t>
  </si>
  <si>
    <t>4640001823183</t>
  </si>
  <si>
    <t>Томат Черри Лиза 10 шт. (Семко)</t>
  </si>
  <si>
    <t>Гибрид раннеспелый, детерминантный, кистевого типа. От всходов до начала плодоношения 90-95 дней. Растение вы­сотой 1-1,2 м, слабооблиственное. Соцветие простое и про­межуточное, рыхлое с 15-20 цветками. Плоды тёмно-оран­жевые, цилиндрические, гладкие, 2 камерные, мясистые, плотные, массой 5-10 г, с повышенным содержанием (бета-каро­тина, очень сладкие. Гибрид отличается высокой завязываемостью плодов в условиях дефицита влаги, низких и высоких температур, недостаточной освещенности. Плоды созрева­ют дружно, не осыпаются и не растрескиваются, лежкие. Ги­брид устойчив к вирусу томатной мозаики, альтернариозу, бактериозу, фузариозу, фитофторозу. Растения образуют мало пасынков и легко формируются в один или два стебля. Предназначен для открытого грунта и пленочных теплиц. Используется для потребления в свежем виде и консервиро­вания. Урожайность 10-12 кг/м2.</t>
  </si>
  <si>
    <t>4640001826917</t>
  </si>
  <si>
    <t>Томат Черри от Юрия F1 5шт (Семко)</t>
  </si>
  <si>
    <t>Гибрид раннеспелый, индетерминантный. От всходов до созревания 80-85 дней. Растение компактное, открытое, с коротким расстоянием между кистями. Первое соцветие закладывается над 7-9 листом. Кисть сложная с 30-50 плодами. Плоды сливовидные, с небольшими гранями, ярко-красные, массой 15-25 г, плотные, транспортабельные, лёжкость до 30 дней. Урожайность 12-15 кг/м2.</t>
  </si>
  <si>
    <t>4640001823206</t>
  </si>
  <si>
    <t>Томат Юбиляр F1 10 шт.  (Семко)</t>
  </si>
  <si>
    <t>Гибрид раннеспелый, детерминантный. От всходов до первого сбора 95-97 дней. Растение компактное, среднеоблиственное. Плод плоскоокруглый, тёмно­красный, многокамерный, массой 170-220 г, гладкий, плотный, без зелёного пятна у плодоножки. Товарность и транспортабельность высокие, плоды лёжкие. Вкусовые качества отличные. Содержание сухого вещества 5,3-5,6%, общего сахара 2,9-3,4%, витамина С 24-27 мг %. Засухоустойчивый, хорошо переносит высокие температуры. Гибрид устойчив к вирусу томат­ной мозаики, фузариозному увяданию, альтернариозу и вершинной гнили плодов. Используется для свежего потребления и производства томатопродуктов. Реко­мендуется для открытого грунта и плёночных теплиц. Схема высадки 70x30 см. Урожайность свыше 11 кг/м2.</t>
  </si>
  <si>
    <t>4640001825552</t>
  </si>
  <si>
    <t>Тыква Свит Коб F1 5 шт. (Семко)</t>
  </si>
  <si>
    <t>Гибрид раннеспелый, порционный. От высадки 20-дневной рассады до начала созревания 75-85 дней. Растение мощное, главная плеть 1,5  м, боковое ветвление сильное, при формировании оставляют 2-3 плети длиной 60-80 см и две завязи на каждой плети. Плоды массой 1,5-2,0 кг, округлой формы, дольчатые, с тёмно-зелёной корой. Мякоть толщиной 5-6 см, желтого цвета, нежная, среднесочная, среднесладкая, крахмалистая, имеет легкий тыквенный аромат с нотками орехово-дынного аромата. Плацента с небольшим количеством семян. Вкусовые качества свежей и переработанной продукции отличные. Гибрид устойчив к слабовирулентным расам антракноза (Со), толерантен к мучнистой росе (Px) и фузариозному увяданию (Fom).  Используется для свежего потребления, домашней кулинарии и всех видов переработки. Плоды сохраняют товарные качества свыше 120 дней после съёма. Урожайность 4,5-6 кг/м2.</t>
  </si>
  <si>
    <t>4673755666072</t>
  </si>
  <si>
    <t>Кабачок Отличник (Сиб.Сад)</t>
  </si>
  <si>
    <t>Сибирский сад</t>
  </si>
  <si>
    <t>Очень ранний гибрид  немецкой селекции. Формирует удобный компактный куст со слабым ветвлением и короткими междоузлиями. Характеризуется ранней закладкой первого плода и дружной отдачей урожая. Плоды светло-зеленые, цилиндрически - булавовидной формы. Нежная сочная мякоть обладает ценными пищевыми достоинствами , особенно в ранней фазе роста молодых завязей. Масса вызревшего плода 1-2 кг. Оптимальная длина плода в технической спелости для кулинарных нужд – 14-17 см.  Урожайность до 1000ц/га. Гибрид обладает хорошей лежкостью, прекрасно хранится несколько месяцев.</t>
  </si>
  <si>
    <t>7930041238762</t>
  </si>
  <si>
    <t>Капуста цв. Леканю 10 шт. (Сиб.Сад)</t>
  </si>
  <si>
    <t>Раннеспелый гибрид нового поколения интенсивного развития. Урожай готов к уборке через 70-75 дней после всходов. Характеризуется очень высокой выровненностью и товарностью продукции. Головки хорошо защищены листьями от прямых солнечных лучей, очень плотные, ослепительно белые, весом 2-3 кг.</t>
  </si>
  <si>
    <t>7930041233996</t>
  </si>
  <si>
    <t>Клубника Тристар 10 шт. (Сиб.Сад)</t>
  </si>
  <si>
    <t>Декоративные гибриды земляники часто выращивают как ампельные растения, которые прекрасно смотрятся в подвесных кашпо, балконных ящиках, вазонах и т. д.</t>
  </si>
  <si>
    <t>4673748195060</t>
  </si>
  <si>
    <t>Лук Сибирский однолетний (Сиб.Сад)</t>
  </si>
  <si>
    <t>Скороспелый сорт сибирской селекции  универсального использования, пригодный к длительному зимнему хранению. Выращивается как в однолетней культуре посевом семян в грунт под зиму или ранней весной, так и  через севок.  Луковицы крупные,  плоско-округлой формы, полуострого вкуса. При выращивании из севка  масса луковиц достигает 150-200 г, при выращивании из семян – 80- 150 г. К несомненным достоинствам сорта относятся очень ранние сроки созревания, устойчивость к стрелкованию, отличная лежкость и урожайность.</t>
  </si>
  <si>
    <t>4603740987325</t>
  </si>
  <si>
    <t>Лук Сибирь-Экспресс репч. 1 гр. (Сиб.Сад)</t>
  </si>
  <si>
    <t>Высокоурожайный  раннеспелый сорт сибирской селекции. Пригоден  для выращивания в однолетней культуре из семян и двулетней — из севка.  Период от полных всходов до массового полегания листьев 90-95 дней (из семян) и 65-75 дней (из севка).  Хранится  более 7 месяцев,  не теряя полезные и вкусовые качества. Неприхотливый, обладает способностью адаптироваться к различным условиям окружающей среды.</t>
  </si>
  <si>
    <t>4673734431097</t>
  </si>
  <si>
    <t>Огурец По Моему Хотению F1 7шт (Сиб. сад) 354883513</t>
  </si>
  <si>
    <t>Среднеспелый - от высадки до плодоношения 42-44 дня, партенокарпический (не требует опыления) гибрид. Завязи пучковые (по 1-3 плода). Плод цилиндрической формы с тупым кончиком, массой 100-110 г. Плоды генетически свободны от горечи. Вкус плода сладкий, мякоть хрустящая. Урожайность до 13 кг/м2.</t>
  </si>
  <si>
    <t>4673748197071</t>
  </si>
  <si>
    <t>Огурец По Щучьему Велению F1 7шт (Сиб. сад) 354896453</t>
  </si>
  <si>
    <t>Среднеранний (50-52 дня) партенокарпический гибрид женского типа цветения, не требующий опыления. Растение одностебельное, не требует формирования, с пучковым образованием завязей. Зеленец цилиндрический, крупнобугорчатый, темно-зеленый, длиной 10-12 см, массой 100- 120 г. Назначение универсальное. Ценность гибрида: высокая урожайность, холодостойкость, длительный период плодоношения, отличные вкусовые качества, устойчивость к болезням. Предназначен для выращивания под пленочными укрытиями.</t>
  </si>
  <si>
    <t>7930041234948</t>
  </si>
  <si>
    <t>Огурец Шанхайский длинный 10шт. (Сиб. сад)</t>
  </si>
  <si>
    <t>Раннеспелый пчелоопыляемый сорт. Растение мощное, длинноплетистое, формирует редкобугорчатые плоды длиной до 50см. Вкус и структура плодов обеспечат великолепные летние салаты, слабосоленый засол. Плодоношение длительное, до первых заморозков.</t>
  </si>
  <si>
    <t>7930041234191</t>
  </si>
  <si>
    <t>Перец Бивень 15шт. (Сиб.Сад)</t>
  </si>
  <si>
    <t>Ранний крупноплодный сорт.  Куст высотой до 0,5м, привлекателен очень крупными тяжелыми плодами длиной до 25см, массой до 300грамм. Толщина стенки до 8мм. Сорт урожайный, в открытом грунте на одном растении формируется до 12 плодов. Плоды очень сочные, приятного сладковатого вкуса с легким яблочным ароматом.</t>
  </si>
  <si>
    <t>7930041237314</t>
  </si>
  <si>
    <t>Перец Бивни мамонта (Сиб.Сад) НОВИНКА!!!</t>
  </si>
  <si>
    <t>Раннеспелый, высокопродуктивный сорт с крупными хоботовидными плодами длиной до 27 см. Растение высокорослое, около метра. Масса каждого плода около 200 г, толщина стенки 5-7 мм. Мякоть высоких вкусовых качеств: нежная, сладкая, ароматная. Окраска в биологической спелости красная, в технической — зелёная. Хороши в свежем виде, подходят для всех видов кулинарной обработки. Сорт рекомендуется для выращивания в теплицах и открытом грунте. Устойчив к вирусу табачной мозаики.</t>
  </si>
  <si>
    <t>4603740994927</t>
  </si>
  <si>
    <t>Перец БИФ-Сибиряк 15шт. (Сиб. сад)</t>
  </si>
  <si>
    <t>Особо крупный. Плоды до 350г. Среднеспелый  сорт сибирской селекции с супер крупными толстостенными плодами. Куст компактный, низкорослый, высотой 60-65см с завязью полубукетного типа. Вишнево-красные кубовидные гиганты  удивляют толщиной стенки до 1 см и весом до 350 и более грамм. Мякоть плодов сочная, мясистая, ароматная и вкусная.</t>
  </si>
  <si>
    <t>7930041232760</t>
  </si>
  <si>
    <t>Перец Гусарский кубок 15шт. (Сиб.Сад)</t>
  </si>
  <si>
    <t>Среднеранний, до 150гр, темно-красный, округло-кубовидный, толщина стенки до 10мм, растение штамбовое 50-60см. Букетное плодоношение и дружное созревание плодов.</t>
  </si>
  <si>
    <t>7930041239950</t>
  </si>
  <si>
    <t>Перец Золотая снежность (Сиб.Сад)</t>
  </si>
  <si>
    <t>Тяжеловесные жемчужно-желтые плоды. Особо крупноплодный, раннеспелы сорт перца. Куст высотой 40-50см. Плоды гиганткие, кубовидной формы, массой до 450гр., светящейся жемчужно-желтой окраски. Толщина стенки до 10мм.</t>
  </si>
  <si>
    <t>7930041235235</t>
  </si>
  <si>
    <t>Перец Сибирский формат 15шт. (Сиб. сад)</t>
  </si>
  <si>
    <t>Новый мощный среднеспелый сорт. Имеет крупный высокорослый (до 80см) куст полуштамбового типа. Формирует до 15 очень крупных кубовидных 3-4х камерных плодов. Средний размер плода 12*10см, масса 300-450гр. Окраскатемно-красная, глянцевая. Толщина стенки перикарпия 8-10мм.</t>
  </si>
  <si>
    <t>7930041232944</t>
  </si>
  <si>
    <t>Перец Толстый барон 15шт. (Сиб.Сад)</t>
  </si>
  <si>
    <t>Раннеспелый, до 300гр, кубовидный, густо-красный, стенка до 10мм, высота куста 50-70см.</t>
  </si>
  <si>
    <t>7930041232975</t>
  </si>
  <si>
    <t>Перец Хасбулат 15шт. (Сиб.Сад)</t>
  </si>
  <si>
    <t>Ранний, до 250гр, удлиненно-пирамидальный, красный, стенка до 8мм, куст 50-70см.</t>
  </si>
  <si>
    <t>7930041230087</t>
  </si>
  <si>
    <t>Томат Алый Мустанг 20 шт.  (Сиб.сад)</t>
  </si>
  <si>
    <t>Куст вырастает высотой 1,5 - 2 м. Формировать куст рекомендовано в 1-2 стебля в теплицах и открытом грунте. Но, все-таки, в условиях сибирского климата томаты этого сорта лучше выращивать в теплицах: во-первых, увеличивается вегетационный период растения; во-вторых, данный сорт не отличается устойчивостью к понижению температуры воздуха. Урожайность сорта высокая, при правильном уходе с куста можно снять до 5 кг.</t>
  </si>
  <si>
    <t>7930041230155</t>
  </si>
  <si>
    <t>Томат Бабушкин секрет 20 шт. (Сиб.сад)</t>
  </si>
  <si>
    <t>Очень крупноплодный сорт томата сибирской селекции, со сладкими и мясистыми плодами массой до 1000 г, среднеспелый. Для пленочных укрытий и теплиц, требует формирования куста и подвязки. Растение высотой 150-170 см, индетерминантного типа. Плоды плоскоокруглые, красно-малинового цвета, малосеменные, отличных вкусовых качеств. Прекрасно подходят для потребления в свежем виде и зимних заготовок.</t>
  </si>
  <si>
    <t>4673748195503</t>
  </si>
  <si>
    <t>Томат Бело-красное чудо 20шт. (Сиб.Сад)</t>
  </si>
  <si>
    <t>Среднеранний (105-110 дней) сорт для выращивания в открытом грунте. Куст детерминантный, крепкий, высотой до 80 см. Формирует полукомпактные соцветия   с 7-8 плодами. Томаты превосходных качеств – выровненные, без пятен, высоких вкусовых характеристик. Плоды товарные, долго сохраняют качественные и вкусовые харакеристики. Сорт устойчив к основным заболеваниям, может выращиваться без пасынкования. Урожайность сорта до 10 кг/м2.</t>
  </si>
  <si>
    <t>4603740988117</t>
  </si>
  <si>
    <t>Томат Бочка меда 20 шт. (Сиб.Сад)</t>
  </si>
  <si>
    <t>Вкусный как мед. Среднеспелый биф-сорт для теплиц и открытого грунта. Куст мощный, крепкий, сочно-зеленый, высотой 150-160см. Формирует красивые  кисти с ярко-оранжевыми  округлыми выровненными плодами, массой  250-350г. Кожица тонкая, но плотная, мякоть  мясистая   при разрезе не растекается. Вкус сбалансированный, сладкий, не приторный, как    легкий    мед белой акации.</t>
  </si>
  <si>
    <t>4673748192298</t>
  </si>
  <si>
    <t>Томат Веселые гондурасики 20 шт. (Сиб. сад)</t>
  </si>
  <si>
    <t>Среднеранний (100-110 дней) сорт универсально-консервного назначения. Никогда не подведет с урожаем, удивительно вкусен в свежем и соленом виде, может храниться 1-2 месяца после сбора. С середины июня до начала осенних заморозков обильно завязывает плоды-груши массой 70-80 г. По обильности кистей и сладости томатов не уступает черри-сортам. Рекомендуется для выращивания в защищенном грунте, может выращиваться в открытом грунте в коловой культуре. Растение индетерминантное высотой до 2 м с 4-5 обильными кистями на каждом стебле. Мякоть плодов плотная, очень сладкая. Урожайность до 15 кг/м2.</t>
  </si>
  <si>
    <t>4603740998611</t>
  </si>
  <si>
    <t>Томат Гаргамель 20 шт. (Сиб.Сад)</t>
  </si>
  <si>
    <t>Среднеспелый  ( 100-105 дней)  экзотический сорт, главная особенность которого   эффектная  окраска   плодов  похожих на огненные цветы. Крупные сливовидные  плоды содержит большое количество полезных  антоцианов.  Сорт неприхотлив, хорошо растет и  плодоносит  в  условиях  защищенного и открытого  грунта, ежегодно обеспечивая  стабильный  высокий урожай. В кисти формируется до 7 плодов массой 100-180г, необычного оранжево-красного цвета с фиолетовыми пятнами и штрихами.</t>
  </si>
  <si>
    <t>7930041230537</t>
  </si>
  <si>
    <t>Томат Грибное лукошко 20шт. (Сиб.Сад)</t>
  </si>
  <si>
    <t>Растение детерминантное, высотой до 0,9 м в открытом грунте, в теплице до 1,7 м. Кисть простая, с 3-4 ярко-красными, крупными, мясистыми плодами, массой 250-350 г. Плоды очень интересные, плоские, с ярко выраженной ребристостью, создающей впечатление, будто томат состоит из отдельных долек. Мякоть очень нежная, приятного вкуса. Урожайность сорта до 4 кг с растения.</t>
  </si>
  <si>
    <t>4673771072901</t>
  </si>
  <si>
    <t>Томат Гроздевик 20 шт. (Сиб.сад)</t>
  </si>
  <si>
    <t>Раннеспелый (90-92 дня) суперурожайный сорт для консервации и деликатесных домашний заготовок. Предназначен для выращивания как в открытом, так и в защищенном грунте. Высота куста не более 1 м в открытом грунте и до 1,5 м в тепличных условиях. Уже начиная с июля и вплоть до октября растение формирует многочисленные гроздья глянцевых, ярко-красных томатов. Первые соцветия формируются уже над шестым-седьмым листом. Простые и сложные кисти дают от 10 до 30 плодов продолговато-овальной формы, с острым маленьким носиком, массой 65-100 г. Преимущество сорта заключается в толстых стенках и сочной, ароматной мякоти, из которой получается отменный густой томатный сок. Кожица плодов остаётся целой при термообработке, не трескается, что важно для процессов засола и консервации. Идеально ровные плоды легко укладываются в банки, не деформируется, когда их достают для подачи на стол, великолепно смотрятся при сервировке. Сорт проявляет исключительную приспособленность к суровым сибирским климатическим условиям, ежегодно демонстрируя стабильно высокий уровень урожайности до 13 кг/м2.</t>
  </si>
  <si>
    <t>4603740988124</t>
  </si>
  <si>
    <t>Томат Жаркие угли 20 шт. (Сиб.Сад)</t>
  </si>
  <si>
    <t>Вкусные томаты с космическим загаром. Среднеранний экзотический сорт с антоциановой окраской плодов. Неприхотлив, отличается завязываемостью в пасмурное и дождливое лето, длительным плодоношением до заморозков. Куст сильный, рослый, крепкий,  высотой 1,5-1,8 м, с плодами, массой 60-100 г. Плоды очень плотные, трещиноустойчивые, мясистые. Черные антоциановые плечики и темно-красная макушка - признак полного созревания и наибольшей интенсивности вкуса томатов. Мякоть темно красно-малиновая, приятная, с преобладанием сладости и фруктового послевкусия.</t>
  </si>
  <si>
    <t>4673734430472</t>
  </si>
  <si>
    <t>Томат Засолочная гирлянда 20 шт. (Сиб.Сад)</t>
  </si>
  <si>
    <t>Среднеспелый суперурожайный  сорт засолочно-консервного направления. Растение индетерминантное, высотой более 2м. Первые плоды более крупные, весом  170-200г, последующие 120-150г.</t>
  </si>
  <si>
    <t>7930041230773</t>
  </si>
  <si>
    <t>Томат Золотой Кенигсберг 20шт. (Сиб.Сад)*</t>
  </si>
  <si>
    <t>Среднеспелый сорт  для теплиц и пленочных укрытий. Растение индетерминантное, высотой 1,5-1,8 м. Характеризуется хорошей завязываемостью плодов в теплице. Соцветия формируются через лист. Сорт обильный, на кисти до 5-6 плодов овально-удлиненной формы, золотистого цвета, массой до 300 г, первые до 450 г. Плоды очень ровные, плотные, малосеменные, по вкусу и высокому содержанию каротина их можно назвать «сибирскими абрикосами». Прекрасно подходят для употребления в свежем виде и цельно-плодного консервирования.</t>
  </si>
  <si>
    <t>7930041230780</t>
  </si>
  <si>
    <t>Томат Золотые купола 20 шт. (Сиб.Сад)</t>
  </si>
  <si>
    <t>Среднеспелый сорт сибирской селекции. Высота куста 90-150 см. Плоды красивые округло-сердцевидной формы, оранжево-желтой окраски, мясистые, вкусные, массой 400-800 грамм. Великолепны в салатах и зимних заготовках.  Хорошо дозревают. Для открытого грунта и пленочных теплиц.</t>
  </si>
  <si>
    <t>7930041234122</t>
  </si>
  <si>
    <t>Томат Инфинити F1 15шт.  (Сиб.сад)</t>
  </si>
  <si>
    <t>Раннеспелый (95-100 дней), крупноплодный гибрид для пленочных теплиц и открытого грунта. Растение средневетвистое, высотой до 1,7 м. В кисти по 5-6 плодов. Плоды округлой формы, гладкие, плотные, без зеленого пятна у основания, массой до 300 грамм.</t>
  </si>
  <si>
    <t>7930041235013</t>
  </si>
  <si>
    <t>Томат Итальянское спагетти (Сиб.Сад)</t>
  </si>
  <si>
    <t>Интересный среднеранний сорт для защищенного грунта с вытянутыми длинными плодами. Растение индетерминантное, высотой до 2 м, формирует до 6 кистей с малиново-красными сигаровидными плодами длиной до 15 см. Плоды мясистые, плотные, с малым количеством семян, массой 100-150 грамм. Обладают великолепной лежкостью, прекрасно дозариваются, не теряя товарных качеств, очень вкусны в свежем виде, остаются плотными и крепкими в консервации и засоле. Сорт характеризуется стабильно высокой урожайностью до 5 кг с 1 растения.</t>
  </si>
  <si>
    <t>4673748195398</t>
  </si>
  <si>
    <t>Томат Крутая фишка 20 шт. (Сиб.Сад)</t>
  </si>
  <si>
    <t>Среднеспелый (115-125 дней). В защищенном грунте сорт плодоносит особенно обильно и продолжительно. В южных и центральных регионах РФ может выращиваться на открытых грядах в коловой культуре. Растение высотой до 2 м и более, среднеоблиственное, слабоветвистое. Через каждые 3 листа формирует простые кисти с 5-7 красными глянцевыми плотными плодами, округлой формы, массой 150-250 г. Мякоть с малым количеством семян отличного вкуса. Томаты универсального назначения, идеально подходят для рыночных продаж, приготовления кулинарных блюд и консервации. Сорт толерантен к вирусу табачной мозаики, фузариозу, кладоспориозу и галловой нематоде. Общая товарная урожайность до 19 кг/м2, ранняя до 8 кг/м2.</t>
  </si>
  <si>
    <t>4603740988261</t>
  </si>
  <si>
    <t>Томат Леди совершенство (Сиб. сад)</t>
  </si>
  <si>
    <t>Суперранние плоды идеальной формы и вкуса. Суперранний сорт итальянской селекции для открытого грунта и пленочных укрытий с плодами идеальной формы. Растение мощное, высотой 90 см. Плоды плотные, идеальной формы, ярко-красного цвета массой 200-250 г. Мякоть сочная, с легкой томатной кислинкой,  характеризуется высокими вкусовыми свойствами. Сорт имеет   повышенную устойчивость к болезням и к растрескиванию.</t>
  </si>
  <si>
    <t>4603740995429</t>
  </si>
  <si>
    <t>Томат Люсенька 20 шт. (Сиб.Сад)</t>
  </si>
  <si>
    <t>Сибирский, универсальный. Среднеранний универсальный сорт для открытого грунта, хорошо приспособленный для выращивания в условиях Сибири и Дальнего востока. Может выращиваьтся с минимальными трудозатратами, без подвязки и пасынкования куста. Растение компактное, высотой до 50 см. Плоды перцевидно-кубовидные, аккуратной и красивой формы, ярко-красного цвета, массой до 150 г. Мякоть ароматная, плотная, мясистая, вкусная. Употребляется в свежем виде, домашней кулинарии, в засолах и консервировании. Томаты не растрескиваются, хорошо переносят транспортировку. Урожайность до 10 кг/м2.</t>
  </si>
  <si>
    <t>7930041231206</t>
  </si>
  <si>
    <t>Томат Малахитовая шкатулка  20шт. (Сиб.Сад)</t>
  </si>
  <si>
    <t>Среднеранний, крупноплодный сорт с плодами оригинальной изумрудно-желтой окраски. Растение высотой до 1,5 м. Плоды плоскоокруглые, крупные, массой до 900 г, очень мясистые, вкусные, изумрудно-желтые. Мякоть нежной консистенции с дынным привкусом. Сорт удивляет сочетанием необычного цвета и вкуса.</t>
  </si>
  <si>
    <t>4673748192304</t>
  </si>
  <si>
    <t>Томат Малиновые дольки F1 20 шт (Сиб.Сад)</t>
  </si>
  <si>
    <t>Среднеспелый сорт. Хорошо растет в открытом и защищенном грунте. Растение высотой 1-1,7 м (в зависимости от условий выращивания). Кисти простые с 3-4 ажурными плодами сочного малинового цвета, массой 250-350 г. Мякоть малиново-розовая с малым количеством семян. Вкус гармонично сбалансированный, с достаточным количеством сахаров и кислот. Томаты отлично смотрятся в салатах и закусках при горизонтальной и вертикальной нарезке. Консервация в банках привлекательна и необычна. Урожайность до 4,0 кг с растения.</t>
  </si>
  <si>
    <t>4603740995399</t>
  </si>
  <si>
    <t>Томат Медовый пудовичок 20шт.  (Сиб.Сад)</t>
  </si>
  <si>
    <t>Стрессоустойчивый. Урожайный. Среднеспелый (108-112 дней) сорт. Пластичный, имеет высокую устойчивость к заболеваниям, хорошо переносит жару и холод, отлично приспособлен к суровым климатическим условиям. Растение с крепким стеблем и темно-зеленой листвой, мощное, высотой 1,5-1,8 м в зависимости от условий выращивания. Плоды массой 200-350 г, медово-апельсинового цвета, без зеленого пятна у плодоножки, не растрескиваются. Мякоть плотная, мясистая, маслянистая, с малым количеством семян. Вкус сбалансированный, с гармоничным сочетанием сахаров и кислот. Урожайность до 6 кг с растения.</t>
  </si>
  <si>
    <t>7930041236058</t>
  </si>
  <si>
    <t>Томат Микадо Сибирико 20шт. (Сиб.Сад)</t>
  </si>
  <si>
    <t>Плоды размером XXXL. Среднеспелый крупноплодный сорт. Великолепно приспособлен к условиям открытого грунта, обеспечивает стабильно высокие урожаи. Розовые сердцевидные плоды массой до 600гр отличаются особо ярким вкусом и ароматом. Растение 150-180см, требует пасынкования и подвязки.</t>
  </si>
  <si>
    <t>4673734430465</t>
  </si>
  <si>
    <t>Томат Минусинский медведь 20 шт. (Сиб.Сад)* 185799594</t>
  </si>
  <si>
    <t>Среднеспелый крупноплодный сорт. Как и все районированные сибирские сорта хорошо переносит жесткие температурные колебания. Вкусовые характеристики на порядок выше многих западных гибридов, а размер плодов настолько внушителен, что позволяет накормить салатом целую семью. Может выращиваться в защищенном и открытом грунте с соблюдением условий агротехники. Растение мощное, высотой до 2 м. Кисти сложные, с 5-6 крупными плодами средней массой 450 г. Максимальный вес плодов достигает 1 кг. Томаты округлые, с аккуратно-вытянутым носиком на вершине, ярко-красного цвета и небольшим пятном у плодоножки. Мякоть сочная, с малым количеством семян и сахарным изломом. Вкус  плодов отличный.</t>
  </si>
  <si>
    <t>4603740986557</t>
  </si>
  <si>
    <t>Томат Морской конек 20 шт. (Сиб.Сад)</t>
  </si>
  <si>
    <t>Оригинальный среднеспелый (100-110 дней) сорт. Сорт отлично плодоносит в условиях теплицы, пригоден для выращивания в открытом грунте. Растение индетерминантное, высотой до 1,8 м, обильно нагружается кистями аппетитных ярко-красных плодов. Томаты массой 100-150 г, мясистые, с малым количеством семян, вкусные, плотные, с высоким содержанием сухих веществ. Плоды украшают летние свежие салаты, прекрасно консервируются, вялятся и сушатся. Урожайность сорта до 5 кг с растения.</t>
  </si>
  <si>
    <t>4673748199549</t>
  </si>
  <si>
    <t>Томат Мятежный Звездный Истребитель 20 шт.(Сиб.Сад)</t>
  </si>
  <si>
    <t>Сорт среднеранний (100-110 дней), урожайный, проверен и модифицирован на устойчивость и надежность в условиях Сибири. Куст среднеоблиственный, высотой более 2 м. Соцветия - сложные, с рыхлой структурой, высота заложения первого соцветия над 6-7 л, последующих через 2-3 л. В кисти завязывается до 15 плодов. Томаты глянцевые, гладкие, вытянуто-сердцевидной формы с ярко выраженным носиком. Окраска спелых томатов сложная, темно-коричневая с зелеными штрихами и полосками, с освещенной стороны с антоциановым пятном (в открытом грунте полностью антоциановая). Средняя масса томатов 250 г, самые крупные достигают веса 550-570 г. Урожайность до 5 кг с растения.</t>
  </si>
  <si>
    <t>7930041237161</t>
  </si>
  <si>
    <t>Томат Нижегородский кудяблик 20 шт. (Сиб.Сад) НОВИНКА!</t>
  </si>
  <si>
    <t>Скороспелый сорт сибирской селекции для открытого грунта.  Неприхотлив, не требует подвязки и пасынкования, при минимальных трудозатратах позволяет получать с 1 м2 до 4 кг вкусных солнечных плодов. Куст штамбовый, высотой около 35 см, компактный, обильно нагружен красивыми и аппетитными плодами – шариками средней массой 50 г. Плоды округлые, гладкие, плотные, насыщенно- оранжевого цвета, успешно вызревают в открытом грунте. Характеризуются повышенным содержанием бета-каротина и отличными вкусовыми качествами</t>
  </si>
  <si>
    <t>4603740986885</t>
  </si>
  <si>
    <t>Томат Новый Кенигсберг малиновый 20шт (Сиб Сад)*</t>
  </si>
  <si>
    <t>Среднеранний (от всходов до созревания 105-110 дней). Растение высотой 0,7-1,3 м в условиях открытого и защищенного грунта. Обильно нагружается ровными, гладкими, плотными, малиновыми плодами перцевидной формы массой до 250 граммов. Кожица тонкая, мякоть нежная, сахаристая с сильным ароматом. Сорт рекомендуется для употребления в свежем виде, переработки на томатопродукты. Урожайность 3-5 кг с растения в зависимости от условий выращивания.</t>
  </si>
  <si>
    <t>7930041231428</t>
  </si>
  <si>
    <t>Томат Орлиное Сердце 20 шт.  (Сиб.Сад)</t>
  </si>
  <si>
    <t>Среднеспелый, до 800гр, тип бычьего сердца, розово-малиновый, 1м-1,7м. Сорт устойчив к неблагоприятным погодным условиям, плоды не растрескиваются.</t>
  </si>
  <si>
    <t>4603740986700</t>
  </si>
  <si>
    <t>Томат Ослиные уши золотые 20шт (Сиб.сад)</t>
  </si>
  <si>
    <t>Сладкий салатный. Среднеспелый сорт с розовыми плодами, по  форме напоминающими ослиное ухо. Растение индетерминантное. Плоды тяжелые и плотные, массой 200-300 грамм, собраны в кисти по 4-6 шт. Крупные, сливовидно-перцевидной формы, сильно вытянутые и слегка сплюснутые с боков ,с острой вершиной, длиной до 15 см. Кожица мраморно- розовой окраски, не жесткая. Мякоть сахаристая, сладкая, не течет после нарезки.</t>
  </si>
  <si>
    <t>4603740986847</t>
  </si>
  <si>
    <t>Томат Ослиные уши малиновые 20шт (Сиб Сад)</t>
  </si>
  <si>
    <t>НОВИНКА!!! Вкусный  Оригинальный. Оригинальный среднеспелый сорт  с крупными малиновыми плодами по  форме напоминающими ослиное ухо. Растение индетерминантное, высотой  до 1,7м, закладывает кисти  через 2-3 листа, образование завязей продолжается в течение всего сезона.  В каждом соцветии 4-6 мясистых, крупных   малиновых  плодов массой 150-250 г,  отдельные экземпляры достигают веса 350 г.</t>
  </si>
  <si>
    <t>4603740986694</t>
  </si>
  <si>
    <t>Томат Ослиные уши розовые 20шт (Сиб.сад)</t>
  </si>
  <si>
    <t>Сладкий салатный. Вкусный и красивый сорт среднего срока созревания. Растения детериминантного типа, компактные, высотой 1,5-1,8м в зависимости от условий выращивания. В кисти 4-6  янтарных плодов овально-вытянутой формы, чуть сплюснутых с боков. Масса томатов 200-250 грамм, некоторые до 350 грамм. Кожица нежная и плотная, мякоть  не водянистая, сахаристая, безупречно вкусная.</t>
  </si>
  <si>
    <t>7930041239691</t>
  </si>
  <si>
    <t>Томат Пасто Итальяно 20шт  (Сиб сад)</t>
  </si>
  <si>
    <t>НОВИНКА!!! Надежный кистевой, Безупречная консервация и засол. Среднеранний сибирский длиноплодный сорт для теплиц и пленочных укрытий. Надежно гарантирует стабильно высокую завязываемость плодов в любой год, радует формой и вкусом, плодоносит до поздней осени. Растение высотой до 2 м, формирует до 7 обильно нагруженных кистей насыщенно-малиноного цвета. Плоды цилиндрические, массой 100-120 г, гладкие, ровные, упругие и мясистые с плотной сахаристой мякотью и малым количеством семян. Урожайность до 16 кг/м2.</t>
  </si>
  <si>
    <t>4673734430496</t>
  </si>
  <si>
    <t>Томат Подсинское чудо 20шт. (Сиб.Сад)</t>
  </si>
  <si>
    <t>Среднеспелый сибирский сорт знаменитой серии Минусинских томатов. Растение высотой до 2м. Вес одного плода  может превышать 600г.</t>
  </si>
  <si>
    <t>4603740988155</t>
  </si>
  <si>
    <t>Томат Самые лучшие 20 шт. (Сиб.сад)</t>
  </si>
  <si>
    <t>Минимум ухода, отличный вкус. Среднеспелый. Не  сложен в  выращивании, стабильно урожаен.
Растение детерминантное,  высотой до 1м, выращивается  в открытом грунте и пленочных укрытиях. Плоды красные, плоско-округлые, очень плотные и мясистые, с сахаристой мякотью и малым количеством семян. Вес томатов 200–300г.Вкус плодов достоин самой высокой оценки.</t>
  </si>
  <si>
    <t>7930041231749</t>
  </si>
  <si>
    <t>Томат Сахарный пудовичок 20 шт. (Сиб.Сад)</t>
  </si>
  <si>
    <t>Среднеспелый сорт для открытого грунта с крупными плодами малинового цвета. Растение высотой до 1 м, плоды плоские, умеренно ребристые, мясистые и вкусные, массой 300-600 г. Разрезанный томат сахарится на изломе и почти не имеет семян. Рекомендуется для использования в свежем виде и домашней кулинарии. Урожайность 3-5 кг с 1 м2.</t>
  </si>
  <si>
    <t>4603740988162</t>
  </si>
  <si>
    <t>Томат Сердце красного дракона (Сиб.Сад)</t>
  </si>
  <si>
    <t>Редкий Сладкий Урожайный. Среднеспелый сорт завораживающий  красивой  редкой  окраской, формой плодов и богатым вкусом. Куст компактный, высотой до 1,8 м. Формирует обильные кисти с плодами изысканной сердцевидной формы с ярко выраженным фигурно-удлиненным носиком, массой 200-400 г. Мякоть малосемянная, плотно-сахаристая, сладкая, практически без кислот. Окраска плодов в стадии спелости на редкость оригинальна и красива: блестяще-малиновая с золотисто-пламенными штрихами. Кожица тонкая, но плотная, устойчива к растрескиванию.</t>
  </si>
  <si>
    <t>4603740987943</t>
  </si>
  <si>
    <t>Томат Сибирский килограмм 20 шт. (Сиб.Сад)</t>
  </si>
  <si>
    <t>Супергигант среди гигантов, Большой и вкусный. Среднеспелый (116-120 дней) сорт сибирской селекции. Характеризуется устойчивостью к температурным колебаниям. При соблюдении агротехники не трудно получить томаты по 1000 и более граммов, состоящие из сплошной сладкой мякоти. Растение мощное, высотой 1,8-2 м. Плоды средней массой 600-800 г. Томаты быстро набирают массу, вес первых плодов достигает более 1 кг. Насыщено-красные, без зеленого пятная у плодоножки, мясистые, не склонные к растрескиванию гиганты имеют отличный товарный вид.</t>
  </si>
  <si>
    <t>7930041235570</t>
  </si>
  <si>
    <t>Томат Сладкий поцелуй (черри)  20 шт.  (Сиб.Сад)</t>
  </si>
  <si>
    <t>Сладкий черри-томат для открытого грунта и пленочных укрытий. Сорт среднеспелый, растение высотой от 80 см в открытом грунте и до 1,2 м в условиях теплицы. Формирует большое количество кистей с мелкими округлыми красными плодами массой до 20 грамм. Томаты очень сладкие на вкус, лакомые для малышей и взрослых. Рекомендуется для употребления в свежем виде и домашней кулинарии.</t>
  </si>
  <si>
    <t>4673734432094</t>
  </si>
  <si>
    <t>Томат Сокровище Акмора Сибирико 20шт (Сиб Сад)</t>
  </si>
  <si>
    <t>Суперэффектный среднеранний сорт. Растение индетерминантное, высокорослое, формируется в 1-2 стебля. Завязывает до 10 сложных кистей с 20-40 плодами массой 40-50 г. Томаты красивой формы и яркой окраски, плотные, не трескаются, отлично дозревают на растении в течение длительного периода. Плоды хороших вкусовых и засолочных качеств, отлично подходят для использования в свежем виде, украшения стола и консервирования цветного ассорти. Сорт отлично приспосабливается к неблагоприятным условиям, практически не болеет в теплице и в открытом грунте, характеризуется потрясающе высокой урожайностью.</t>
  </si>
  <si>
    <t>7930041237208</t>
  </si>
  <si>
    <t>Томат Суперклуша 20 шт. (Сиб. сад) НОВИНКА!!!</t>
  </si>
  <si>
    <t>Урожай без проблем, штамбовый куст высотой до 30-40 см. Сорт неприхотлив, не требует укрытий, формировки и пасынкования куста. Приспособлен к суровым климатическим условиям Сибири. Среднеранний (100-105 дней). Плоды округлые, розовые, массой 150-250 г, спрятаны под листья, хорошо вызревают в открытом грунте. Урожайность сорта до 10 кг/м2.</t>
  </si>
  <si>
    <t>7930041239257</t>
  </si>
  <si>
    <t>Томат Суперперец (Сиб.Сад)</t>
  </si>
  <si>
    <t>Среднеранний сорт (созревает на 112 день после появления всходов) для любителей выращивать без хлопот крупные томаты в  открытом грунте. Достаточно устойчив к ранним краткосрочным заморозкам. Густо-красные плоды перцевидной формы  весом 300-350 г дружно созревают и красиво украшают невысокий куст.</t>
  </si>
  <si>
    <t>7930041235785</t>
  </si>
  <si>
    <t>Томат Турбореактивный 20шт.  (Сиб.Сад)</t>
  </si>
  <si>
    <t>Суперскороспелый неприхотливый сорт для открытого грунта. Куст высотой до 40см., можно выращивать без подвязки и пасынкования. Надежный, хорошо приспособлен к суровым погодным условиям, даже в холодное лето дает стабильный урожай. Плоды красные, плоско-округлые, массой до 80гр.</t>
  </si>
  <si>
    <t>7930041232104</t>
  </si>
  <si>
    <t>Томат Французский гроздевой (Сиб.Сад)</t>
  </si>
  <si>
    <t>Новый засолочный сорт сибирской селекции среднего срока созревания с плодами поистине «королевской» красоты. Куст детерминантный, высотой до 1 м. Выращивается в открытом и защищенном грунте с подвязкой, без пасынкования. Плоды созревают к концу лета, гроздьями по 6-10 штук. В зависимости от условий выращивания на растении завязывается от 5 до 20 гроздей. Плоды ярко-красного цвета, массой 80-100 г, вкусные, лежкие, пальчиковой формы, изысканно ровные и гладкие. Место отрыва томата от плодоножки практически незаметно. Сорт очень хорош в осенних заготовках, законсервированные плоды будут непревзойденным деликатесом на вашем столе.</t>
  </si>
  <si>
    <t>7930041232166</t>
  </si>
  <si>
    <t>Томат Цифомандра 20 шт. (Сиб.Сад)</t>
  </si>
  <si>
    <t>Среднеспелый сорт сибирской селекции с крупными и очень вкусными плодами массой до 800 г. Куст среднерослый, высотой до 1-1,2 м, предназначен для выращивания в 1-2 стебля в открытом грунте и пленочных укрытиях. Плоды малиново-красного цвета, округло-сердцевидной формы, сладкие. Урожайность сорта до 6 кг с растения. При высадке в грунт на 1 кв. м размещают 3 растения.</t>
  </si>
  <si>
    <t>4603740995276</t>
  </si>
  <si>
    <t>Томат Черная магия 20шт (Сиб Сад)</t>
  </si>
  <si>
    <t>Сказочно красивый, Высокоурожайный, Очень вкусный. Среднеспелый «сказочно-волшебный» сорт с сердцевидными плодами окраски темный биколор. За красоту, урожайность и вкус  получил высший балл  от селекционеров АФ «Сибирский сад». 
Растение компактное, малооблиственное, высотой до 1,75м. Томаты изящно-сердцевидной  формы, очень красивые даже в технической спелости. Окраска темно-фиолетовый биколор , переходящая в насыщенный бордовый цвет, как хамелеон меняется по мере созревания.  Зрелый томат темно-малиновый с антоциановыми темными  плечиками. Средняя масса плода  180-200г, наиболее крупные экземпляры достигают  450-650г. Кожура  тонкая, не склонная к растрескиванию. Мякоть нежно-малиновая, средней плотности, сочная ароматная  с полным балансом кислоты и сладости.</t>
  </si>
  <si>
    <t>7930041237727</t>
  </si>
  <si>
    <t>Томат Черри-Банано 20 шт (Сиб.сад)</t>
  </si>
  <si>
    <t>Оригинальные по размеру и форме плоды выгодно выделяют его среди сортов этой группы. Бананово-желтые, солнечные томатики в форме крошечных пальчиковых лампочек массой 20-30 г красиво украшают высокорослое растение по всей высоте. Плоды плотные, сладкие, очень полезны для детского и диетического питания. Урожайность до 3 кг с растения.</t>
  </si>
  <si>
    <t>4603740995337</t>
  </si>
  <si>
    <t>Томат Штамбовый король 20 шт. (Сиб.Сад) 185799536</t>
  </si>
  <si>
    <t>Среднеспелый крупноплодный штамбовый сорт. Куст мощный, высотой 55-60 см, с частым заложением кистей (через 1-2 листа). Плоды крупные, сердцевидные, насыщенно малиновой окраски, массой 200-550 г. Мякоть мясистая, сахаристая на изломе, с небольшим количеством семян. Вкус сладкий с небольшой кислинкой. Томаты универсального назначения, хороши в свежих салатах, кулинарных блюдах и зимних заготовках. Урожайность сорта до 6 кг с растения.</t>
  </si>
  <si>
    <t>7930041238168</t>
  </si>
  <si>
    <t>Томат Японский Трюфель Золотой (Сиб.Сад) 189633539</t>
  </si>
  <si>
    <t>Оригинальные плоды, великолепный вкус, фаворит зимних заготовок. Среднеспелый интетерминантный сорт с оригинальными плодами в виде трюфеля. Интересная компактная форма, оригинальный сладковато-кислый вкус и отличная плотная консистенция плодов делают этот сорт фаворитом цельноплодного консервирования среди томатов. Растение высокорослое, требует подвязки и пасынкования. В кисти 5-6 красивых красных плодов весом 100-150гр. с плотной кожицей, сахаристой мякотью и великолепным вкусом.</t>
  </si>
  <si>
    <t>7930041236164</t>
  </si>
  <si>
    <t>Томат Японский Трюфель Красный 20шт. (Сиб.Сад) 189633675</t>
  </si>
  <si>
    <t>7930041236188</t>
  </si>
  <si>
    <t>Томат Японский Трюфель Оранжевый (Сиб.Сад)</t>
  </si>
  <si>
    <t>Среднеспелый сорт с оригинальными плодами в виде трюфеля, высотой до 160 см. Сорт рекомендован для выращивания в теплицах и пленочных укрытиях. Растение высокорослое, выращивается в 1-2 стебля, требует подвязки и пасынкования. В кисти 5-6 красивых оранжевых плодов весом 100-150 г, с плотной кожицей, сахарис¬той мякотью и великолепным вкусом. Томаты лежкие, хорошо дозариваются, долго не теряют вкусовых качеств при хранении в свежем виде, не трескаются при консервировании.</t>
  </si>
  <si>
    <t>4603740998536</t>
  </si>
  <si>
    <t>Трава для кошек и собак "Травка-муравка" 100гр (Сиб Сад)</t>
  </si>
  <si>
    <t>Смесь семян злаковых трав для выращивания полезной витаминной зелени, необходимой в рационе здорового питания кошек, собак и других домашних животных. Улучшит пищеварение, очистит кишечник домашних любимцев и сохранит от вандализма комнатные растения.</t>
  </si>
  <si>
    <t>4673755660605</t>
  </si>
  <si>
    <t>Тыква Мускат де Прованс 5 шт.  (Сиб. Сад)</t>
  </si>
  <si>
    <t>Высокоурожайный среднеспелый (110-115 дней) сорт тыквы. Растение крепкое, формирует большие, красно оранжевые округло приплюснутые плоды с сегментированной поверхностью. Мякоть ярко оранжевая, плотная с высоким содержанием сахара и каротина. Средняя масса плода 3-4 кг.</t>
  </si>
  <si>
    <t>4673734431110</t>
  </si>
  <si>
    <t>Фасоль Армянская красная 5гр (Сиб.Сад)</t>
  </si>
  <si>
    <t>Среднеспелый (80-90 дней) сорт фасоли для выращивания на зерно. Один из лучших сортов для приготовления традиционных армянских блюд. Неприхотлив и толерантен к болезням, хорошо растет в открытом грунте, характеризуется отличной урожайностью, высокой питательностью и отличными вкусовыми качествами зерен. Куст крепкий высотой до 50 см. Стручки светло-зеленые, длиной 15-20 см с 6-8 крупными красно-коричневыми зернами. Сорт используется для приготовления супов, вторых блюд, гарниров и консервирования. Урожайность до 1 кг/м2.</t>
  </si>
  <si>
    <t>4673734436467</t>
  </si>
  <si>
    <t>Фасоль Инь-Янь 5гр (Сиб Сад)</t>
  </si>
  <si>
    <t>Раннеспелый сорт кустовой фасоли, обладающей особой декоративностью. Выращивается в летний период в открытом грунте. Растение компактное, высотой до 45 см. Бобы длиной до 15 см с большим количеством зерен. Зерна необычны по цвету, на половину белые, наполовину кофейной окраски, похожи на известный восточный символ «Инь-Ян». Рекомендуется для приготовления необычных гарниров, сушки, зимних заготовок. Урожайность стручков и зерен до 5 кг/м2.</t>
  </si>
  <si>
    <t>4673734431141</t>
  </si>
  <si>
    <t>Фасоль Иранская белая 5гр (Сиб.Сад)</t>
  </si>
  <si>
    <t>Среднеспелый кустовой сорт российской селекции. Неприхотливый, можно выращивать без подвязки. В технической спелости стручки нежные могут использоваться в качестве спаржевой фасоли. Растение кустовое, средневетвистое высотой 30-35 см. Бобы крупные плоско-цилиндрические, изогнутые, со слабо выраженным пергаментным слоем, длиной до 13 см. Зерна белые, средней величины, вкусные, питательные. рекомендуются для приготовления супов, самостоятельных гарниров, консервации, сушки и заморозки для использования в зимний период. Урожайность зерен до 1 кг/м2.</t>
  </si>
  <si>
    <t>4673748190584</t>
  </si>
  <si>
    <t>Фасоль Курочка Ряба 5гр (Сиб Сад)</t>
  </si>
  <si>
    <t>Среднеранний кустовой сорт для выращивания в открытом грунте. Растение низкорослое высотой до 45 см. Стручки пестрые, длиной до 12 см без жестких волокон. В стручке формируется до 10 плоско-цилиндрических зерен, светло-бежевого цвета с фиолетовым крапом. Зерна отличного вкуса, с высоким содержанием растительного белка. Рекомендуется для приготовления разнообразных блюд, консервирования и сушки, сохраняют свою форму в процессе термической обработки. Плодоношение сорта дружное, урожайность до 1,8 кг/м2.</t>
  </si>
  <si>
    <t>4673734431134</t>
  </si>
  <si>
    <t>Фасоль Лимская 5гр (Сиб.Сад)</t>
  </si>
  <si>
    <t>Среднеспелый (90-100 дней) сорт для открытого и защищенного грунта. Растения мощные, высотой до 3 м с ярко-алыми крупными цветами. Стручки крупные, плоские с прочными волокнами, длиной 10-15 см. Зерна розово-фиолетовые с ярким рисунком. В пищу можно использовать зрелые и молодые незрелые зерна. Их отваривают, добавляет в первые и вторые блюда, замораживают и консервируют как зеленый горошек. Сбор урожая проводят несколько раз по мере созревания бобов.</t>
  </si>
  <si>
    <t>4673734431189</t>
  </si>
  <si>
    <t>Фасоль Попугай 5гр (Сиб.Сад)</t>
  </si>
  <si>
    <t>Среднеспелый (80-90 дней) сорт кустового типа. Сорт легко выращивается в открытом грунте, не склонен к полеганию, болезням и засухе. Растение кустовое, высотой 35-40 см. Стручки слабоизогнутые, плоскоцилиндрические со слабо выраженным пергаментным слоем, длиной 10-13 см. Зерна овальные, размеров до 1 см, белые с ярко красным пятном у глазка. Используются для приготовления первых, вторых блюд, сушки и длительного хранения.</t>
  </si>
  <si>
    <t>4627172212466</t>
  </si>
  <si>
    <t>Базилик Диво Дивное® (УД)</t>
  </si>
  <si>
    <t>Уральский дачник (Марс)</t>
  </si>
  <si>
    <t>Один из самых декоративных базиликов. Крупные, восхитительные зелёные листья контрастируют с квадратными в разрезе пурпурными стеблями и тёмно-лиловыми гроздьями соцветий. Соцветия по своей форме напоминают ещё не распустившиеся гроздья сирени с сильным ароматом. В результате позднего цветения, растение успевает сформировать богатый урожай листьев с пикантным ароматом, напоминающим нечто среднее между ароматами корицы и анисовым базиликом. Содержат витамины С, В1, В2, РР, эфирные масла, фитонциды. Выращивают в открытом и закрытом грунте. Можно выращивать круглый год как горшечную культуру. Свежая листва используется в течение всего периода вегетации.</t>
  </si>
  <si>
    <t>4656758752706</t>
  </si>
  <si>
    <t>Базилик Маленький Проказник (УД) НОВИНКА!!!</t>
  </si>
  <si>
    <t>Среднеранний сорт. Растение компактное, высотой 30-35 см, с ярко-зелеными листьями и стойким пряным ароматом. Масса одного растения 60-70 г. Требователен к теплу и свету, высаживается на защищенных от холодных ветров и хорошо освещенных солнцем местах.</t>
  </si>
  <si>
    <t>4656758754458</t>
  </si>
  <si>
    <t>Базилик Ни забот, ни хлопот, смесь сортов (УД) НОВИНКА!!!</t>
  </si>
  <si>
    <t>Смесь сортов (от всходов до срезки 35-60 дней). Растения прямостоячие, полураскидистые, хорошо облиственные, высотой от 30 до 60 см. Листья различной величины и окраски. Ценность смеси: широкий спектр вкуса и аромата, ценные пищевые и лечебные свойства. В пищу употребляют листья и нежные молодые побеги, в качестве приправы к различным блюдам, при консервировании, мариновании овощей, для ароматизации соусов, бальзамов и уксусов. Из семян готовят непревзойдённые лечебные бальзамы</t>
  </si>
  <si>
    <t>4656758755547</t>
  </si>
  <si>
    <t>Базилик Яшка-Цыган + Томат Сахарная голова (ДУ) (УД)</t>
  </si>
  <si>
    <t>Среднеспелый сорт. Вегетационный период от всходов до появления центрального соцветия 60-65 дней. Куст компактный, высотой 60-70 см. Листья крупные, ароматные, пряные, с ванильными нотками во вкусе, яйцевидной формы с заостренным кончиком, фиолетовой окраски, длиной 6-8 см, шириной 3-4 см. Масса одного растения 200-300 г. Базилик полезен при желудочно-кишечных и лёгочных заболеваниях. Используется в свежем и сушёном виде, как пряновкусовая добавка.</t>
  </si>
  <si>
    <t>4656758753796</t>
  </si>
  <si>
    <t>Баклажан Диво дивное (УД)</t>
  </si>
  <si>
    <t>Раннеспелый (105-110 дней) сорт с оригинальной окраской плодов для выращивания в открытом грунте и под пленочными укрытиями. Растение раскидистое, высотой 60-70 см. Плоды укорочено-грушевидные, зеленые, напоминают гигантские оливки, массой 250-300 г. Мякоть без горечи, белая с легким зеленоватым оттенком, неплотная, с нежным, грибным вкусом. Ценность сорта: устойчивость к комплексу заболеваний, выносливость к холоду, изумительные вкусовые качества.</t>
  </si>
  <si>
    <t>4627172214866</t>
  </si>
  <si>
    <t>Бобы Челябинские 87 (УД)</t>
  </si>
  <si>
    <t>Сверхранний урожайный сорт уральской селекции. Период от всходов до технической спелости 75-90 дней. Растения высокие, сильноветвистые. Бобы прямые, гладкие, в технической спелости зелёные, с 3-5 крупными семенами, до 12 см длинной. Семена карминово-розового цвета, после сушки становятся красно-бронзовыми.</t>
  </si>
  <si>
    <t>4627172215726</t>
  </si>
  <si>
    <t>Дыня Русский Деликатес (УД)</t>
  </si>
  <si>
    <t>Среднеспелый (от всходов до созревания плодов 90-110 дней) сорт. Плоды округло-овальные, жёлто-зелёные, с частой мелкой сеткой, глянцевые, массой 1,2-3,0 кг. Мякоть белая, плотная, сочная, ароматная, сладкая. Ценность сорта: устойчивость к болезням, неблагоприятным факторам окружающей среды, высокие вкусовые качества. В условиях зон неустойчивого земледелия рекомендуется выращивать под плёночным укрытием врасстил или в теплицах на шпалерах.</t>
  </si>
  <si>
    <t>4627172215214</t>
  </si>
  <si>
    <t>Земляника Гордость Сибири крупноплодная (УД)</t>
  </si>
  <si>
    <t>Поздний неремонтантный, для увеличения урожайности требует дополнительного сорта опылителя. Куст компактный, листвы формирует не очень много. Сорт хорошо подходит для всех регионов страны, так как отлично переносит низкие температуры. Начинает плодоносить, когда другие сорта уже закончили.Средний вес составляет 60 г, имеют округлую форму. Изначально ягоды становятся розовыми, но переходя в период окончательного созревания, приобретают тёмно-красный, иногда бордовый оттенок, становятся сочными, сладкими, с легкой кислинкой. Аромат ягод напоминает лесную землянику.</t>
  </si>
  <si>
    <t>4627104602648</t>
  </si>
  <si>
    <t>Кабачок Красавчик цуккини 2 гр. (УД)</t>
  </si>
  <si>
    <t>Скороспелый, стабильно урожайный, кустовой сорт с необычной формой плодов, для открытого грунта и теплиц. Плоды многочисленные, округлые, тёмно-зеленые в крапинку, с нежной, сочной мякотью. Кора тонкая, долго не грубеет.</t>
  </si>
  <si>
    <t>4627172219670</t>
  </si>
  <si>
    <t>Капуста б/к Дитмаршер фрюер Е/П (УД)</t>
  </si>
  <si>
    <t>Раннеспелый сорт. Кочан округлый или плоскоокруглый, массой до 3 кг, плотный, сочный, отличного вкуса. Листовая розетка мелкая, светло-зеленого цвета.</t>
  </si>
  <si>
    <t>4627104609739</t>
  </si>
  <si>
    <t>Капуста б/к Русский Деликатес (УД)</t>
  </si>
  <si>
    <t>Надёжный, высокопродуктивный, среднеспелый сорт. Кочаны округлые, плотные, на разрезе белые, нежные, сочные, хрустящие. Ценность сорта: дружное формирование кочанов и их выравненность, устойчивость к растрескиванию и болезням, отличные вкусовые качества свежей и квашеной продукции. Рекомендуется для употребления в свежем виде, кулинарной переработки и засолки.</t>
  </si>
  <si>
    <t>4627104603706</t>
  </si>
  <si>
    <t>Капуста б/к Санькина любовь Е/П (УД) 185799579</t>
  </si>
  <si>
    <t>Новый отечественный среднеспелый гибрид. Кочаны идеально выровненные по размеру, овально-округлой формы, массой от 4 до 5 кг с короткой внутренней кочерыгой.</t>
  </si>
  <si>
    <t>4627104603713</t>
  </si>
  <si>
    <t>Капуста б/к Сахарная Молния Е/П (УД) 341112216</t>
  </si>
  <si>
    <t>Ультраскороспелый.Гибрид обладает целым комплексом очень ценных признаков, таких как максимальная урожайность, идеальная выровненность округлых кочанов весом от 1,6 до 2,0 кг, очень плотная для ранних гибридов капусты внутренняя текстура.</t>
  </si>
  <si>
    <t>4627172215603</t>
  </si>
  <si>
    <t>Капуста б/к Стахановка 1513 (УД)</t>
  </si>
  <si>
    <t>Среднеранний сорт, созревает через 75 суток после высадки рассады. При выращивании в безрассадной технологии созревает в августе. Созревание дружное. Кочаны округлой формы, средней плотности, массой 1,5-3,5 кг, очень сочные, отличных вкусовых качеств, не растрескиваются. Урожайность достигает 78 т/га. Используется в свежем виде и для квашения.</t>
  </si>
  <si>
    <t>4627172217645</t>
  </si>
  <si>
    <t>Капуста б/к Хуторок (УД)</t>
  </si>
  <si>
    <t>Один из лучших сортов для длительного хранения – позднеспелый сорт. Кочаны плотные, массой 2-3 кг. Устойчивы к растрескиванию, продолжительное время сохраняются на корню. Осенью во вкусе имеется слабая горчинка, как у всех поздних сортов. После 2-3 месяцев хранения горечь пропадает, уровень сахаров увеличивается, вкус становится сладким, нежным, сочным. Урожайность 6-7 кг/м2.</t>
  </si>
  <si>
    <t>4620764768303</t>
  </si>
  <si>
    <t>Капуста б/к Чудо на засол F1 (УД)</t>
  </si>
  <si>
    <t>Суперурожайный среднеспелый гибрид. Кочан округлый, плотный, массой 3-4,5 кг, очень сочный и сладкий, устойчив к растрескиванию. Способен долгое время сохраняться на корню.</t>
  </si>
  <si>
    <t>4620764768327</t>
  </si>
  <si>
    <t>Капуста б/к Чудо на хранение F1 (УД)</t>
  </si>
  <si>
    <t>ПОЗДНЕСПЕЛАЯ. НОВИНКА! Вырастив этот гибрид на своем участке, вы обеспечите себя витаминами до следующего урожая. Вкусовые качества по мере хранения улучшаются! Кочаны округло-плоской формы, массой 3-3,5 кг, очень плотные, сочные, с повышенным содержанием сахара.</t>
  </si>
  <si>
    <t>4620764762301</t>
  </si>
  <si>
    <t>Капуста б/к Экспресс (УД)</t>
  </si>
  <si>
    <t>Созревает самой первой! Плотные, сочные кочаны, массой до 1,5 кг, очень сладкие, не растрескиваются!</t>
  </si>
  <si>
    <t>4627172218079</t>
  </si>
  <si>
    <t>Капуста брюссельская Брюссель (УД) Новинка!</t>
  </si>
  <si>
    <t>Раннеспелый холодостойкий гибрид с дружным формированием урожая. Кочанчики округлой формы, зеленые, тёмно-зелёные, плотные, массой 15 г, обладают отличными вкусовыми качествами и диетическими свойствами. На одном растении равномерно, по всей длине стебля, располагаются 40-55 кочанчиков, общей массой до 900 грамм.</t>
  </si>
  <si>
    <t>4627130871834</t>
  </si>
  <si>
    <t>Капуста брюссельская Розелла (УД) Новинка!</t>
  </si>
  <si>
    <t>Новый среднеранний сорт, с дружным формированием урожая. Кочанчики яйцевидной формы, зелёные, плотные, массой до 15 г, обладают отличными вкусовыми и диетическими качествами, на одном растении образуется до 45 шт. Обладают отличными вкусовыми и диетическими качествами, идеально подходят для домашней кулинарии и замораживания.</t>
  </si>
  <si>
    <t>4656758750177</t>
  </si>
  <si>
    <t>Капуста пекинская Родник (УД)</t>
  </si>
  <si>
    <t>Среднеранний (55-65 дней) сорт для ранневесеннего и летне-осеннего выращивания в теплице и для летнего посева в грунт. Растения мощные, удлинённо-цилиндрические, насыщенно-зелёные, открытые сверху. Кочаны плотные, высотой 20-25 см, массой около 200 г, с высокими вкусовыми качествами. Урожайность до 5,6 кг/м².</t>
  </si>
  <si>
    <t>4627086668564</t>
  </si>
  <si>
    <t>Капуста савойская Вологодские Кружева (УД) Новинка!</t>
  </si>
  <si>
    <t>НОВИНКА! Суперурожайный, суперполезный сорт. Лист крупный, светло-зеленый, сильнопузырчатый, гофрированный. Кочан округлый, плотный, на разрезе желтоватый, массой 1-2,2 кг, устойчив к растрескиванию. Вкусовые качества отличные.
Используется в свежем виде, для приготовления салатов, холодных закусок, овощного ассорти, голубцов.</t>
  </si>
  <si>
    <t>4627172216228</t>
  </si>
  <si>
    <t>Капуста цв. Коза Егоза, гелев. драже (УД)</t>
  </si>
  <si>
    <t>Улучшенная Коза-Дереза! Новый, суперурожайный, среднеранний сорт с отличной завязываемостью головок. Головка белоснежная, округло-плоская, плотная, массой до 1 кг, очень высоких вкусовых качеств. Используется для потребления в свежем виде, консервирования и заморозки.</t>
  </si>
  <si>
    <t>4656758752812</t>
  </si>
  <si>
    <t>Капуста цв. Кураж (УД)</t>
  </si>
  <si>
    <t>Сорт с растянутым периодом плодоношения - это очень удобно для выращивания на дачных участках. Период от всходов до уборки урожая 80-100 дней. Розетка листьев от средних до крупных размеров. Поверхность листа слабоскладчатая, гладкая, окраска зеленая с восковым налетом. Головка округло-плоская, мелкозернистая, плотная, окраска белая с кремовым оттенком. Масса 600-1000 г. Вкусовые качества отличные.</t>
  </si>
  <si>
    <t>4627104609883</t>
  </si>
  <si>
    <t>Капуста цв. Русский Деликатес (УД) Новинка!</t>
  </si>
  <si>
    <t>Холодостойкий, раннеспелый сорт для выращивания в открытом грунте и под пленочными укрытиями. Головки округлые, плотные, массой до 1 кг, белоснежные, отличного вкуса. Ценность сорта: стабильная урожайность, выравненность головок, холодостойкость, жаровыносливость, устойчивость к растрескиванию. Используется в домашней кулинарии, для консервирования и замораживания.</t>
  </si>
  <si>
    <t>4620764767412</t>
  </si>
  <si>
    <t>Капуста цв. Снегурочка (УД)</t>
  </si>
  <si>
    <t>Великолепный раннеспелый гибрид с отличной самопокрывающей способностью. Головки среднего размера, плотные, с нежной структурой, молочно-белые, округло-плоские, массой 1-1,5 кг. Гибрид дает стабильные урожаи даже при неблагоприятных почвенно-климатических условиях.</t>
  </si>
  <si>
    <t>4656758756704</t>
  </si>
  <si>
    <t>Лук Темная лошадка® репч. (УД)</t>
  </si>
  <si>
    <t>Гибрид раннеспелый, универсальный. Возделывается в однолетней культуре и из севка в условиях длинного и среднего дня. От высадки севка до массового полегания листьев 70-75 дней. Одногнёздный, одно-двухзачатковый. Луковица округлая, при посеве семенами – массой 80-100 г, диаметром 6-7 см, при выращивании из севка – масса 150-200 г, диаметром 8-10 см. Сухие чешуи тёмно-фиолетового цвета, число их 2-3, сочные – белые с тёмно-красным эпидермисом, шейка тонкая. Вкус полуострый. Содержание сухого вещества 12-13 %, общего сахара 6,2-6,5 %. Вызреваемость перед уборкой 89-93 %, после дозаривания 99-100 %. Дружносозревающий. Товарность высокая. Пригоден для продолжительного хранения. Урожайность 5-6 кг/м2 .</t>
  </si>
  <si>
    <t>4620764764893</t>
  </si>
  <si>
    <t>Лук Эксибишен Дабл Гигант (УД)</t>
  </si>
  <si>
    <t>Среднепоздний, холодостойкий, исключительно урожайный сорт для выращивания на репку в однолетней культуре. Дает высокий урожай независимо от почвенно-климатических условий. За сезон формирует красивые, полноценные и плотные луковицы овальной формы, массой до 800 г.</t>
  </si>
  <si>
    <t>4627086668946</t>
  </si>
  <si>
    <t>Морковь Нандрин (Гелевое драже) (УД)</t>
  </si>
  <si>
    <t>Среднеранний (102 дня) высокоурожайный гибрид сортотипа Нантская. Отличное сочетание раннеспелости и высокой продуктивности. Длинные гладкие, крупные, цилиндрической формой корнеплоды имеют сладкий вкус. Прекрасная внутренняя и внешняя окраска, сердцевина практически не заметна. Основной гибрид для выращивания в центральном и северных регионах. Предназначен для потребления в свежем виде и переработки.</t>
  </si>
  <si>
    <t>4627104609746</t>
  </si>
  <si>
    <t>Морковь Русский Деликатес (УД) Новинка!</t>
  </si>
  <si>
    <t>Среднеспелый, сахарный сорт для хранения. Корнеплоды крупные, тупоконечные, красно-оранжевые, длиной 20-25 см. Сердцевинка очень маленькая, практически не заметная, мякоть нежная, хрустящая, сочная, великолепного вкуса.</t>
  </si>
  <si>
    <t>4656758755578</t>
  </si>
  <si>
    <t>Огурец Амиго + Укроп Чемпион (ДУ) (УД)</t>
  </si>
  <si>
    <t>Ультраранний, самоопылямый гибрид для закрытого и открытого грунта. Зеленцы цилиндрические, среднебугорчатые, белошипые, длиной 10-12 см, сочные, сладкие, без горечи.</t>
  </si>
  <si>
    <t>4627104603645</t>
  </si>
  <si>
    <t>Огурец Верность F1 (УД) 182029638</t>
  </si>
  <si>
    <t>Суперпучковый корнишонный гибрид женского типа цветения для открытого грунта, тоннелей, весенних теплиц. В плодоношение вступает очень рано на 35-37-й день от всходов. Зеленцы бугорчатые, черношипые, овально-цилиндрической формы, длиной 8-10 см. Засолочные и вкусовые качества просто превосходны(!).</t>
  </si>
  <si>
    <t>4627086666898</t>
  </si>
  <si>
    <t>Огурец Всем на Зависть 5 шт. F1 (УД)</t>
  </si>
  <si>
    <t>Партенокарпический  высокоурожайный скороспелый пучковый корнишонный гибрид.В узлах формируется 3-6 и более завязей. Зеленцы красивой ярко-зеленой окраски, белошипые, с плотной хрустящей мякотью, с часто-средним опушением, длиной 9-12 см. Большое преимущество гибрида - плодоношение в условиях нехватки света.</t>
  </si>
  <si>
    <t>4627104603652</t>
  </si>
  <si>
    <t>Огурец Генеральский F1 ® (УД)</t>
  </si>
  <si>
    <t>Скороспелый партенокарпический суперпучковый корнишонный гибрид женского типа цветения для открытого и защищенного грунта. В узлах формируется до 12 завязей. Теневынослив. Зеленцы очень красивые, аккуратненькие, тёмно-зелёные, небольшие, 10—12 см длиной, плотные, хрустящие, ароматные. Бугорки крупные, расположение бугорков средне-частое.</t>
  </si>
  <si>
    <t>4627104603621</t>
  </si>
  <si>
    <t>Огурец Миллионер F1 (УД) 191093076</t>
  </si>
  <si>
    <t>Раннеспелость, великолепный вкус, огромная урожайность, отличный внешний вид плодов, могучий красивый куст. Зеленцы корнишонного типа, крупнобугорчатые, белошипые, длиной 8-12 см, очень высоких засолочных качеств.</t>
  </si>
  <si>
    <t>4627104603638</t>
  </si>
  <si>
    <t>Огурец Преданность F1 (УД) 182029641</t>
  </si>
  <si>
    <t>Высокоурожайный среднеранний классический гибрид женского типа цветения. Широко выращивается в весенне-летнем обороте в открытом и защищенном грунте. Зеленцы красивой ярко-зеленой окраски, крупнобугорчатые, белошипые, длиной 10-12 см; засолочные, консервные и вкусовые качества очень высокие.</t>
  </si>
  <si>
    <t>4627086666362</t>
  </si>
  <si>
    <t>Огурец РМТ F1 (УД)</t>
  </si>
  <si>
    <t>Скороспелый, с «букетным» расположением завязей.  В каждом узле образуется по 2-5 завязей, благодаря чему на растении может одновременно наливаться до 20-30 плодов. Зеленец на главном стебле длиной 13-16 см, на боковых побегах - 12-15 см, диаметром 3,5-4,0 см, массой 120-140 г, темно-зеленый, часто бугорчатый, белошипый, универсального назначения.</t>
  </si>
  <si>
    <t>4627046097533</t>
  </si>
  <si>
    <t>Огурец Русский Деликатес F1 (УД)</t>
  </si>
  <si>
    <t>Раннеспелый салатный партенокарпический гибрид преимущественно женского типа цветения, для открытого и защищённого грунта. Зеленцы крупнобугорчатые, крепкие, удивительно вкусные, ароматные и хрустящие, без горечи. Ценность: стабильная урожайность, дружное плодоношение, отличные вкусовые качества, устойчивость к мучнистой росе, высокая завязываемость плодов при недостаточной освещённости и пониженных температурах.</t>
  </si>
  <si>
    <t>4620764767337</t>
  </si>
  <si>
    <t>Огурец Сибирская гирлянда F1 (УД)</t>
  </si>
  <si>
    <t>Сорт относится к скороспелым – срок от плодоношения до созревания составляет всего 45 дней. Размер зеленца совсем небольшой – от пяти до восьми сантиметров, но при этом урожайность высокая – от четырнадцати до восемнадцати килограмм с одного метра квадратного. Плети сорта буквально «увешаны» плодами – минимум по тридцать, а порой и более штук можно собрать с одной такой «лианы».</t>
  </si>
  <si>
    <t>4627086667932</t>
  </si>
  <si>
    <t>Огурец Сила Земли F1 (УД)</t>
  </si>
  <si>
    <t>Раннеспелый, партенокарпический гибрид для открытого грунта и пленочных укрытий. Зеленцы короткие, цилиндрические, крупнобугорчатые, с белым опушением, длиной 9-10 см, сладкие, хрустящие. Отсутствие пустотелых плодов дает возможность получать маринованные и соленые огурчики отменного качества.
Растения не болеют мучнистой росой - наиболее опасным заболеванием огурцов - а, значит, дадут высокий урожай без потерь. Рекомендуется для употребления в свежем виде и консервирования.</t>
  </si>
  <si>
    <t>4627104600408</t>
  </si>
  <si>
    <t>Огурец Таганай (УД) 182029678</t>
  </si>
  <si>
    <t>Самоопыляемый гибрид-спринтер. В плодоношение вступает на 37-38 день после всходов. Плоды темно-зеленые, крупнобугорчатые, красивой цилиндрической формы, белошипые, длиной 8-10 см, выровнены по размеру, без горечи, не перерастают, в каждом узле образуют 2-3 завязи. Вкусовые качества отличные. Урожайность в открытом грунте свыше 12 кг/м2, в теплице - более 15 кг/м2.</t>
  </si>
  <si>
    <t>4627172216150</t>
  </si>
  <si>
    <t>Огурец Тёмная лошадка (УД)</t>
  </si>
  <si>
    <t>Огурец раннеспелый, партенокарпический, специалисты рекомендуют возделывать его в теплицах или во временных укрытиях. Растение среднеплетистое, с саморегулированным ветвлением. Плоды цилиндрические, тёмно-зелёного окраса, со слабобугорчатой поверхностью. Урожайность может доходить до 17 кг с 1 кв. м!</t>
  </si>
  <si>
    <t>4627086666126</t>
  </si>
  <si>
    <t>Огурец Торнадо   (УД) НОВИНКА!</t>
  </si>
  <si>
    <t>Суперурожайный, раннеспелый, самоопыляющийся гибрид для выращивания в теплицах, в комнатной культуре и на балконах. Плоды гладкие, тёмно-зеленого цвета, со слабой ребристостью, длиной 18-20 см, очень сладкие, хрустящие, без горечи.</t>
  </si>
  <si>
    <t>4627104602761</t>
  </si>
  <si>
    <t>Огурец Щедрый (УД) Новинка!!!</t>
  </si>
  <si>
    <t>Среднеранний пчелоопыляемый гибрид, для выращивания в открытом грунте. Высокоурожайный. От всходов до первого сбора 46-52 дня. Растение сильнорослое. Зеленец удлиненный, темно-зеленый, массой 100-130г, расположенный по 2-3 плода на одном узле. Вкусовые качества отличные, имеет высокую устойчивость к болезням. Период плодоношения до 2 месяцев. Пригоден для соления и использования в свежем виде.</t>
  </si>
  <si>
    <t>4620764768488</t>
  </si>
  <si>
    <t>Перец Гиганто Росса F1  (УД)</t>
  </si>
  <si>
    <t>Высокоурожайный раннеспелый гибрид. Гигантские плоды удлинённо-кубовидной формы достигают длины 26 см, толстостенные, очень сладкие, сочные, ароматные. Салатом, приготовленным из одного перца, можно накормить всю семью.</t>
  </si>
  <si>
    <t>4620764761182</t>
  </si>
  <si>
    <t>Перец Денис F1 (УД)</t>
  </si>
  <si>
    <t>Раннеспелый высокоурожайный гибрид, превосходно завязывающий плоды в неблагоприятных погодных условиях. Растение высокое, мощное, выносливое. Плоды вытянутые, темно-красного цвета, очень крупные, массой до 400 г, толщина стенки до 1,2 см.
Перец ДЕНИС F1 обладает превосходными вкусовыми качествами, мякоть плода ароматная, сочная, сладкая. Рекомендуется для выращивания в стеклянных и пленочных теплицах, временных пленочных укрытиях и в открытом грунте. Очень высокая транспортабельность.</t>
  </si>
  <si>
    <t>4620764762080</t>
  </si>
  <si>
    <t>Перец Красное чудо (УД)</t>
  </si>
  <si>
    <t>Сорт болгарского перца «Красное чудо» является классическим и кубовидным перцем, который рекомендуется выращивать в открытом грунте и плёночных теплицах. Промежуток между высадкой рассады и началом плодоношения проходит 2,5 месяца, а иногда немного больше. Высота этого растения, выращиваемом в открытом грунте может достигать до 70-85 см. Плод имеет четырехгранную форму, высота и диаметр плодов 10-12 см, а толщина стенок равна примерно 5-9 мм. Цвет плодов в биологической спелости красный, а в технической они становятся зеленым. Перец «Красное чудо» устойчивый к заболеванию табачной мозаики и также вирусу картофеля. Этот сорт имеет универсальное использование.</t>
  </si>
  <si>
    <t>4627130877355</t>
  </si>
  <si>
    <t>Перец Мегатон Оранжевый F1 12 шт. (УД) 208815396</t>
  </si>
  <si>
    <t>Перец сладкий толстостенного типа МЕГАТОН ОРАНЖЕВЫЙ F
Гибрид раннего срока созревания. Для выращивания в теплицах, парниках, туннелях. Растение высокорослое (80-85 см), мощное. Плоды гибрида Мегатон F1 сразу выделяются на общем фоне, плоды его величественно висят по периметру куста крупными ровными тяжёлыми кубами, гладкие, глянцевые.
Плоды одни из самых крупных среди цветных перцев, вес их колеблется от 260 до 300 г(!), толщина стенки от 0,8 до 1 см(!), мякоть брызжуще-сочная, необыкновенно вкусная и ароматная.</t>
  </si>
  <si>
    <t>4656758752867</t>
  </si>
  <si>
    <t>Перец Первая любовь (УД)</t>
  </si>
  <si>
    <t>Среднеспелый (110-119 дней) сорт для открытого грунта и плёночных укрытий. Растение полураскидистое, высотой 45-60 см. Плоды пониклые, очень крупные, конические, гладкие, в технической спелости светло-зелёные, в биологической – тёмно-красные, массой 100-120 г, толщина стенки 5-6 (до 8) мм. Вкусовые качества хорошие. Ценность сорта: устойчивость к вертициллезному увяданию, стабильная урожайность и высокое качество плодов. Назначение универсальное.</t>
  </si>
  <si>
    <t>4627086665501</t>
  </si>
  <si>
    <t>Перец Пик комнатный (УД)</t>
  </si>
  <si>
    <t>Низкорослый, буквально усыпан крупными, красными плодами, массой до 150 г, мясистыми, сочными, сладкими. На растении одновременно созревает до 15 плодов! Возможно выращивание на улице, в теплице, на балконе, подоконнике.</t>
  </si>
  <si>
    <t>4627104603683</t>
  </si>
  <si>
    <t>Перец Санькина Любовь Е/П (УД) 196995007</t>
  </si>
  <si>
    <t>Ранний среднерослый и крайне неприхотливый гибрид с повышенным содержанием аскорбиновой кислоты, непревзойденным вкусом и качеством плодов. «Санькина любовь» — один из самых раннеспелых гибридов перца, поэтому уже в начале лета Вы сможете получить удовольствие от сбора урожая, когда другие сорта только вступают в пору плодоношения, наш гибрид уже усыпан множеством плодов.
Обладает отличной завязываемостью плодов даже при пониженных температурах, что позволяет получать дружные, ранние урожаи и в открытом грунте в средней полосе России. Не требует подвязки, но при большом урожае растениям нужна поддержка. Плоды в виде усеченного конуса, широкие, крупные, с гладкой блестящей поверхностью, толстостенные (толщина стенки 7,5-8,0 мм), дерзко-красного цвета. Массой 120-180 г, отдельные плоды до 300 г. Мякоть очень мясистая и сочная, нежная, сладкая, с приятным перечным ароматом. Гибрид пораду</t>
  </si>
  <si>
    <t>4620764766071</t>
  </si>
  <si>
    <t>Перец Супер-Иво комнатный (УД)</t>
  </si>
  <si>
    <t>Удивительно урожайный раннеспелый сорт. Низкорослый, буквально усыпан крупными, красными плодами, массой до 150 г, мясистыми, сочными, сладкими. На растении одновременно созревает до 15 плодов! Возможно выращивание на улице, в теплице, на балконе, подоконнике.</t>
  </si>
  <si>
    <t>4620764761427</t>
  </si>
  <si>
    <t>Редис 16 дневный (УД)</t>
  </si>
  <si>
    <t>Самый ранний сорт редиса! Очень неприхотливый! Корнеплоды округлой формы, выравненные, ярко-красные. Мякоть белая, хрустящая, очень сочная. Сорт высокоурожайный, устойчив к растрескиванию корнеплодов и стрелкованию.</t>
  </si>
  <si>
    <t>4627130879052</t>
  </si>
  <si>
    <t>Редис Ведьмины Пальцы (УД)</t>
  </si>
  <si>
    <t>Среднеранний сорт, период от всходов до сбора корнеплодов 25-28 дней. Рекомендуется для выращивания в открытом грунте, весенних теплицах, плёночных укрытиях. Корнеплоды удлинённо-цилиндрической формы, необычной, сине-фиолетовой окраски, с белым кончиком. Мякоть белая, нежная, очень сочная вкус слабоострый, приятный. Устойчив к стеблеванию и основным болезням редиса. Урожайность: 2,0-2,3 кг/м2. Прекрасно хранится в холодильнике до 10 дней.</t>
  </si>
  <si>
    <t>4656758755851</t>
  </si>
  <si>
    <t>Редис Младший лейтенант (УД)</t>
  </si>
  <si>
    <t>Неприхотливый сорт-спринтер. Раннеспелый, формирует урожай за 20-22 дня от всходов. Рекомендуется для открытого грунта, парников, пленочных тоннелей и теплиц. Розетка листьев прямостоячая. Корнеплод округлый, с выпуклой головкой. Масса товарного корнеплода 20-25 г. Мякоть белая, плотная, сочная, хрустящая, в меру острая и чуть сладковатая. Корнеплоды осеннего урожая отличаются большей сладостью. Молодые листочки весеннего урожая можно использовать в салатах и окрошке. Урожайность 1,8-2 кг/м2.</t>
  </si>
  <si>
    <t>4627130879045</t>
  </si>
  <si>
    <t>Редис Темная Лошадка® (УД)</t>
  </si>
  <si>
    <t>Ранний сорт, от всходов до уборки урожая - 22-24 дня. Корнеплоды оригинальной необычной окраски - ярко-фиолетовые с белым кончиком, очень крупные. Мякоть белая, нежная, сочная, слабоострая. Устойчив к цветушности, для весеннего и осеннего посева.</t>
  </si>
  <si>
    <t>4627130879250</t>
  </si>
  <si>
    <t>Редис Французский Поцелуй (УД) НОВИНКА!</t>
  </si>
  <si>
    <t>Скороспелый, устойчивый к цветности сорт. Рекомендуется для выращивания в открытом грунте, весенних теплицах, плёночных укрытиях. Корнеплод гладкий, красно-малиновый с маленьким белым кончиком. Мякоть белая, сочная, нежная, с отличным вкусом</t>
  </si>
  <si>
    <t>4627130877706</t>
  </si>
  <si>
    <t>Репа Русский Деликатес (УД)</t>
  </si>
  <si>
    <t>Скороспелый сорт салатной репы отечественной селекции. Корнеплод округлый, белый, диаметром 10-12 см. Мякоть белая, вкусная, нежная, сладкая, сочная, без горечи. За выдающиеся вкусовые качества её ещё называют "земляным яблоком". Рекомендуется для употребления в свежем, жареном, печёном, тушёном или фаршированном виде. Сорт отличается высокой урожайностью (до 4,5 кг/м2), хорошей лёжкостью и товарностью корнеплодов.</t>
  </si>
  <si>
    <t>4627104609791</t>
  </si>
  <si>
    <t>Свекла Русский деликатес (УД)</t>
  </si>
  <si>
    <t>Суперурожайный, среднеспелый сорт для хранения. Корнеплоды округлые, гладкие, насыщенного, тёмно-красного цвета, массой 150-200 г. Мякоть нежная, сочная, сладкая, без колец. Ценность сорта: выравненность корнеплодов, отличная лежкость, высокая устойчивость к растрескиванию, заболеваниям и резким перепадам температуры. Рекомендуется для всех видов кулинарной переработки, приготовления соков и консервирования.</t>
  </si>
  <si>
    <t>4656758752164</t>
  </si>
  <si>
    <t>Свекла Уральский Рафинад 2 гр. (УД)</t>
  </si>
  <si>
    <t>Суперсладкий, очень урожайный гибрид. Розетка листьев прямостоячая, некрупная. Корнеплод округлый, гладкий, темно-красного цвета, массой до 300 г, мякоть без колец.</t>
  </si>
  <si>
    <t>4656758754908</t>
  </si>
  <si>
    <t>Свекла Цыганский барон (УД)</t>
  </si>
  <si>
    <t>Раннеспелый (70-100 дней) сорт. Корнеплод плоскоокруглый, массой 160-400 г, тёмно-красный, с сероватой головкой, с тёмно-красной, однородной, сочной мякотью. Товарная урожайность до 7 кг/м2. Устойчива к церкоспорозу (грибковое заболевание). Ценность сорта: раннеспелость и высокая сохранность при хранении, выравненность корнеплодов. Великолепен в кулинарии: насыщенно-красный борщ, свекольные котлеты, деликатный салат из свёклы с чесноком – это всё об этом сорте! Также рекомендован для употребления в осенне-зимний период за счёт отличной сохранности корнеплодов.</t>
  </si>
  <si>
    <t>4627130876594</t>
  </si>
  <si>
    <t>Табак Восточный (УД)</t>
  </si>
  <si>
    <t>Очень популярный сорт с низким содержанием никотина и высокими курительными свойствами. Индивидуальной характеристикой дыма является сильная кедровая основа аромата. Сильный аромат достигается тем, что выращивают этот табак в сухой, худой почве. Листья вытянутой формы, длиной от 8 до 25 см. На растении до 40 листьев. Содержание сахаров выше среднего, что обуславливает кисло-сладкий вкус. Используется в производстве, в виде целого листа, в составе смесей курительного табака, а также в борьбе с вредителями растений.</t>
  </si>
  <si>
    <t>4627086666348</t>
  </si>
  <si>
    <t>Табак Герцеговина Флор (УД)</t>
  </si>
  <si>
    <t>Один из самых популярных сортов. Растение с большими листьями правильной, овальной формы, высотой 70-100 см. Табак с неповторимым вкусом и ароматом. Используется для производства табачных изделий, а также для борьбы с опасными вредителями сельскохозяйственных культур, такими, как тля, гусеницы.</t>
  </si>
  <si>
    <t>4627172216006</t>
  </si>
  <si>
    <t>Томат Абрикосовый (УД)</t>
  </si>
  <si>
    <t>Супернеприхотливый раннеспелый сорт. Растение штамбовое, детерминантное, прямостоячее, слабоветвистое, высотой 50-60 см. Плоды плоскоокруглые, слаборебристые, алого цвета, массой 60-80 г.</t>
  </si>
  <si>
    <t>4627130877430</t>
  </si>
  <si>
    <t>Томат Всем на зависть (УД) 274765438</t>
  </si>
  <si>
    <t>Его по истине считают чудом в селекции томатов. Раннеспелый, индетерминантный гибрид для закрытого грунта. Кусты малолиственные, компактные и больше растут в высоту, а не в ширину, формировать стоит в 3-4 стебля. Кисть простая, состоящая из 7-10 плодов. Плоды округлые, глянцевые, массой 60-80 г, в начале формирования – зеленого окраса (как и обычные томаты), по мере вызревания он приобретает насыщенный иссиня-чёрно-фиолетовый окрас. Мякоть плотная, вишнёво-красного цвета. Плоды отличаются сильным ароматом, который чувствуется на расстоянии. У плодов отличное соотношение сахаров и кислот, что придает им особенный, необыкновенный, фруктовый вкус. Гибрид обладает отличной декоративностью и вы всегда будете иметь под рукой не только полезный и вкусный овощ, но и прекрасное и уникальное украшение вашего сада.</t>
  </si>
  <si>
    <t>4656758755424</t>
  </si>
  <si>
    <t>Томат Выбери меня (УД)</t>
  </si>
  <si>
    <t>Один из вкуснейших красноплодных томатов. Рекомендуется для теплиц в средней полосе и открытого грунта в южных регионах (в шпалерной культуре). Раннеспелый, вступает в плодоношение через 110 дней от всходов. Куст индетерминантный, высотой 180-200 см. Плоды мясистые, массой 200-300 г (первые – до 600 г). Мякоть плотная, с классическим томатным вкусом. Сочетает в себе аппетитный баланс сладости, кислинки и аромата с нотами фруктов. Плоды хорошо дозариваются. Сорт предназначен для свежего потребления. Урожайность в плёночных укрытиях 13-14 кг/м2.</t>
  </si>
  <si>
    <t>4656758756803</t>
  </si>
  <si>
    <t>Томат Генеральский (УД)</t>
  </si>
  <si>
    <t>Незаменимый сорт для цельноплодного консервирования и заготовки томатопродуктов – пасты, соусов, кетчупа. Ценится за урожайность, длительное плодоношение, привлекательный внешний вид в закатках и хорошую лёжкость. Не требует сложного ухода и подойдёт даже начинающим огородникам. Период от всходов до первого сбора плодов 105-115 дней. Растения детерминантные, высотой около 60 см. Стабильно плодоносят даже в холодное лето. Плотные, мясистые плоды массой 60-80 г откалиброваны самой природой. Сорт высокоустойчив к вертициллезу и фузариозному увяданию.</t>
  </si>
  <si>
    <t>4627086667642</t>
  </si>
  <si>
    <t>Томат Женская доля (УД)</t>
  </si>
  <si>
    <t>Оригинальный, раннеспелый, крупноплодный сорт для открытого и закрытого грунта, удивляющий необычной экстравагантной формой плодов. Плоды яркокрасные, крупные, мясистые, массой 180-200 г, очень вкусные. Плоды очень интересные, плоские, с ярко выраженной ребристостью, создающей впечатление, будто томат состоит из отдельных долек.</t>
  </si>
  <si>
    <t>4620764761618</t>
  </si>
  <si>
    <t>Томат Кистевой (УД)</t>
  </si>
  <si>
    <t>Высокорослый, суперурожайный раннеспелый гибрид. Плоды округлой формы, гладкие, интенсивно-красной окраски, массой 90-110 г, плотные. Очень хорош в засолке. Отлично хранится при сборе целыми кистями.</t>
  </si>
  <si>
    <t>4627172210554</t>
  </si>
  <si>
    <t>Томат Лисьи ушки (УД) НОВИНКА!!!</t>
  </si>
  <si>
    <t>Среднеранний (105-110 дней) сорт для плёночных укрытий и теплиц. Растение индетерминантное, высотой 1,6-1,8 м, формируется в два стебля. Плоды крупные, перцевидные, незрелые – светло-зелёные, зрелые – оранжевые, массой 140-180 г, мясистые, плотные, с толстой кожицей, отличного вкуса. Урожайность до 8-10 кг/м2.</t>
  </si>
  <si>
    <t>4656758756780</t>
  </si>
  <si>
    <t>Томат Охотный ряд (УД)</t>
  </si>
  <si>
    <t>Отличный среднеранний сорт для теплиц и плёночных укрытий. Растение высокорослое, пасынки растут параллельно главному стеблю. Всё растение опоясано гирляндовидными кистями аккуратных, розово-красных, цилиндрических плодов, массой 100-120 г. Томаты сахаристые, плотные, очень напоминают по форме толстенькие гаванские сигары. Значительным плюсом при оценке данного сорта является практически 100 % завязываемость плодов в кисти и по ярусам. Замечательно вкусны в свежем виде, и, кроме того, сорт хорош для засола и консервирования.</t>
  </si>
  <si>
    <t>4656758754083</t>
  </si>
  <si>
    <t>Томат Памяти Губко (УД)</t>
  </si>
  <si>
    <t>Скороспелый сорт для открытого грунта. Собирать урожай начинают на 98-113 день от всходов. Растения детерминантные, высотой 45-65 см. Плоды массой 100-130 г, в кистях по 3-4 шт. Томаты очень вкусные — дегустационная оценка 4,5-5 баллов по 5-балльной шкале. Для свежего потребления. Сорт отличается дружным созреванием, выравненностью и хорошей транспортабельностью плодов. Урожайность высокая, 6-8 кг/м2.</t>
  </si>
  <si>
    <t>4627104607797</t>
  </si>
  <si>
    <t>Томат Полбиг (УД)</t>
  </si>
  <si>
    <t>Новый, ультраранний гибрид голландской селекции для открытого грунта и плёночных теплиц. Растение детерминантное, высотой 60-80 см. Плоды округлые, ровные, красные, не растрескиваются, массой 180-200 г. Гибрид отличается хорошей транспортабельностью и высокой завязываемостью плодов при пониженных температурах. Предназначен для потребления в свежем виде и переработки.</t>
  </si>
  <si>
    <t>4620764761595</t>
  </si>
  <si>
    <t>Томат Профессионал F1  (УД)</t>
  </si>
  <si>
    <t>Раннеспелый высокоурожайный гибрид для возделывания в условиях поликарбонатных и зимних теплиц. Растение высокорослое, до 180 см. На главном стебле формируется 7 кистей, в каждой кисти до 15 плодов. Плоды насыщенно - красные, массой 80-100 гр. Гибрид устойчив к основным заболеваниям.
Вкусовые качества в свежем, консервированном и соленом виде отличные.</t>
  </si>
  <si>
    <t>4627104609807</t>
  </si>
  <si>
    <t>Томат Русский Деликатес крупноплодн. (УД) Новинка!!!</t>
  </si>
  <si>
    <t>Высокоурожайный, индетерминантный, раннеспелый гибрид для защищенного грунта. Плоды округлые, ярко-красные, блестящие, массой 18-20 г, плотные, очень сладкие, собраны в длинные красивые кисти, по 30-40 плодов, пригодны для уборки целыми кистями. Ценность сорта: длительный период плодоношения, отличные вкусовые качества, устойчивость к болезням. Рекомендуется для употребления в свежем виде, в домашней кулинарии, приготовления и украшения салатов, для детского и диетического питания, цельноплодного консервирования.</t>
  </si>
  <si>
    <t>4627104609821</t>
  </si>
  <si>
    <t>Томат Русский Деликатес черри (УД) Новинка!!!</t>
  </si>
  <si>
    <t>Высокоурожайный, индетерминантный, раннеспелый гибрид для защищенного грунта. Плоды округлые, ярко-красные, блестящие, массой 18-20 г, плотные, очень сладкие, собраны в длинные красивые кисти, по 30-40 плодов, пригодны для уборки целыми кистями.</t>
  </si>
  <si>
    <t>4627104609654</t>
  </si>
  <si>
    <t>Томат Сахарная Молния Крупноплодный (УД) НОВИНКА!</t>
  </si>
  <si>
    <t>Стабильно урожайный, раннеспелый, высокорослый, крупноплодный сорт для выращивания в открытом и закрытом грунте. Плоды округло-плоские, красные, гладкие, плотные, сочные, мясистые, сахаристые на изломе. 
Ценность сорта: высокая урожайность. Отличные вкусовые качества, хорошая завязываемость плодов при неблагоприятных погодных условиях, устойчивость к болезням. Используется для приготовления диетических и деликатесных салатов, соков, засолки.</t>
  </si>
  <si>
    <t>4620764764985</t>
  </si>
  <si>
    <t>Томат Тигр (УД)</t>
  </si>
  <si>
    <t>Новый, высокоурожайный сорт с «экзотическими» плодами. Растение высокорослое, индетерминантного типа. Плоды округлой формы, необычной окраски - ярко красной, с желтыми полосками, плотные, вкусные, долго хранятся, не теряя своих качеств. Сорт имеет повышенную устойчивость к фитофторозу. Рекомендуется для потребления в свежем виде, засолки и консервирования</t>
  </si>
  <si>
    <t>4620764766095</t>
  </si>
  <si>
    <t>Томат Хлеб да Соль (УД)</t>
  </si>
  <si>
    <t>Великолепный высокоурожайный, высокоросный, крупноплодный сорт для открытого грунта и плёночных теплиц. Плоды плоскоокруглые, слаборебристые, ярко-красные, мясистые, массой до 800 г, на изломе зернистые, сочные и сладкие.
Ценность сорта: высокая и стабильная урожайность, крупноплодность, устойчивость к перепадам температур, высокие вкусовые и товарные качества плодов.</t>
  </si>
  <si>
    <t>4627086665549</t>
  </si>
  <si>
    <t>Томат Челябинский метеорит (УД)</t>
  </si>
  <si>
    <t>Супернеприхотливый, высокоурожайный и просто замечательный гибрид томата. Куст высотой 120-150 см, требует подвязки к опоре и пасынкования. Наилучшие результаты получились при формировании растения в 2 и в 3 стебля. Характеристика плодов Плод округлый, выровненный, в стадии зрелости красного цвета, весом 50-90 грамм. Сладкий, хорош для цельноплодного консервирования. Замечательно подходит и в салат, и на засолку. Сорт устойчив к стрессам, вызванным неблагоприятными погодными условиями, высокая завязываемость плодов в жару и в прохладную пасмурную погоду, стабильная урожайность.</t>
  </si>
  <si>
    <t>4656758756797</t>
  </si>
  <si>
    <t>Томат Червона рута (УД)</t>
  </si>
  <si>
    <t>Очень удачный среднеспелый сорт для открытого грунта, плоды которого начинают созревать в середине лета, как раз к началу сезона заготовок. Хорошо растёт и плодоносит в зонах рискованного земледелия. Обильный урожай томатов этого сорта – достойная награда за труды садоводов в посадочный сезон. Растение среднерослое, высотой 60-70 см. В кисти формируется 5-6 сливовидных плодов насыщенного красного цвета, с высоким содержанием сухого вещества 5,7 % и малым количеством семян. На первой кисти масса томатов до 200 г, на последующих 100-150 г. Мякоть плотная и одновременно нежная, ароматная, сахаристая с приятной кислинкой. Томаты очень вкусны в свежем виде. Плотная кожица и сливовидная форма плодов идеальны для консервирований и засола.</t>
  </si>
  <si>
    <t>4627172211100</t>
  </si>
  <si>
    <t>Томат Шахтер F1 (УД) 182029593</t>
  </si>
  <si>
    <t>Гибрид среднеспелый, индетерминантный. Плоды округлые, массой 40-60 г. При созревании вершинная часть окрашивается в цвет тлеющего угля, большая часть тела плода у плодоножки приобретает тёмно-фиолетовый цвет, при этом тёмная кожура богата мощными антиоксидантами – антоцианами и ликопином, а участок перехода фиолетового цвета в оранжево-красный становится бурым. Консистенция томатов плотная, слегка хрустящая, по цвету тёмно-вишнёвая, очень вкусная, сладкая, необычная. Урожайность около 18 кг/м2.</t>
  </si>
  <si>
    <t>4627104608367</t>
  </si>
  <si>
    <t>Томат Энерго (УД)</t>
  </si>
  <si>
    <t>Раннеспелый, высокоурожайный гибрид для выращивания в открытом грунте и под пленочными укрытиями. Плоды округлые, красные, плотные, массой 120-140 г. Вкусовые качества отличные.
Ценность гибрида: высокая пластичность, отличные вкусовые качества в свежем виде и в засолке, устойчивость к болезням, хорошая завязываемость плодов при повышенных температурах.</t>
  </si>
  <si>
    <t>4620764763674</t>
  </si>
  <si>
    <t>Трава для Домашних Грызунов (УД)</t>
  </si>
  <si>
    <t>Отличная добавка к корму мелких грызунов: хомячков, декоративных мышек, крыс, морских свинок, карликовых кроликов и т.д. Всего за 7-10 дней из специально подобранных семян злаковых растений вырастет свежая зелень, богатая витаминами, микроэлементами, крахмалом, протеином, клетчаткой, которые так необходимы Вашим любимцам. Всегда свежая и ароматная, зелень стимулирует пищеварение, способствует очищению желудка от слизи и комочков шерсти, придает шерсти блеск и шелковистость, способствует получению здорового потомства.</t>
  </si>
  <si>
    <t>4627130874040</t>
  </si>
  <si>
    <t>Ц Календула Розовый сюрприз (УД)</t>
  </si>
  <si>
    <t>Компактные кустики обильно усыпаны крупными, густомахровыми, перламутрово-розовыми соцветиями-корзинками. Достоинства этой календулы сложно переоценить: декоративность соцветий, в сочетании с обилием и длительностью цветения (с июня до заморозков), неприхотливость и холодостойкость, делают её незаменимым растением для клумб, рабаток, бордюров, балконов, контейнеров и вазонов.</t>
  </si>
  <si>
    <t>4620764764657</t>
  </si>
  <si>
    <t>Ц Спецсмесь цветов для могил в затененных местах Добрая память  (УД)</t>
  </si>
  <si>
    <t>Специально составленная смесь неприхотливых цветочных культур, обеспечит долгое и обильное цветение в течении нескольких лет. В состав смеси входят лучшие теневыносливые цветы, которые не требую особого ухода: Незабудка, Маргаритка, Бархатцы отклонённые, Годеция, Гвоздика турецкая, Эшшольция и др.</t>
  </si>
  <si>
    <t>4627130870042</t>
  </si>
  <si>
    <t>Чабер Пикник (УД)</t>
  </si>
  <si>
    <t>Раннеспелый сорт. Период от полных всходов до начала цветения 55-58 дней. Растение высотой 40-45 см, промежуточной формы, ветвистое, хорошо облиственное. Масса 1 растения 70 г. Лист ланцетный, узкий, остроконечный, зеленый. Цветки мелкие, белые. Ароматичность сорта сильная. Рекомендуется для использования в домашней кулинарии (салатах, супах, мясных, овощных блюдах), для ароматизации уксусов и маринадов, при консервировании огурцов.</t>
  </si>
  <si>
    <t>4620764760949</t>
  </si>
  <si>
    <t>Огурец Зозуля 0,25 гр. (Марс/б)</t>
  </si>
  <si>
    <t>Самый популярный у огородников, скороспелый пчёло-опыляемый гибрид для выращивания в открытом грунте, парниках и теплицах. Зеленцы слабобугорчатые, белошипые, длиной 15-23 см, массой до 290 г, сочные, ароматные, сладкие, не желтеют. Ценность гибрида: обильное и продолжительное плодоношение, повышенная холодостойкость, комплексная устойчивость к болезням культуры, высокие вкусовые и товарные характеристики. Рекомендуется использовать для приготовления летних салатов, засолки и консервирования.</t>
  </si>
  <si>
    <t>4620764768983</t>
  </si>
  <si>
    <t>Огурец Маша 8 шт. (Марс/б)</t>
  </si>
  <si>
    <t>Улучшенный «Маринда F1». Уникальный ультраранний, пучковый, засолочный гибрид, устойчивый к пониженным температурам. Плоды корнишонного типа, цилиндрические, крупнобугорчатые, длиной до 8 см, сладкие, без горечи. Суперурожайный!</t>
  </si>
  <si>
    <t>4620752027665</t>
  </si>
  <si>
    <t>Табак Вирджиния 202 (Марс/б)</t>
  </si>
  <si>
    <t>Вирджиния 202 — это очень распространённый сорт табака, который отлично растёт в России в различных климатических зонах. Преимущество данного сорта заключается в низком содержании различных вредных смол. При этом, он обладает очень приятным сладковатым вкусом. Табак Вирджиния 202 является одним из самых распространённых сортов в мире и культивируется повсеместно. Был выведен в России, в Краснодарском крае.</t>
  </si>
  <si>
    <t>Семена пакетированные</t>
  </si>
</sst>
</file>

<file path=xl/styles.xml><?xml version="1.0" encoding="utf-8"?>
<styleSheet xmlns="http://schemas.openxmlformats.org/spreadsheetml/2006/main">
  <numFmts count="1">
    <numFmt numFmtId="164" formatCode="0.0"/>
  </numFmts>
  <fonts count="9">
    <font>
      <sz val="8"/>
      <name val="Arial"/>
    </font>
    <font>
      <b/>
      <sz val="12"/>
      <name val="Arial"/>
    </font>
    <font>
      <sz val="12"/>
      <name val="Arial"/>
    </font>
    <font>
      <u/>
      <sz val="8"/>
      <color rgb="FF0000FF"/>
      <name val="Arial"/>
    </font>
    <font>
      <sz val="10"/>
      <name val="Arial"/>
    </font>
    <font>
      <b/>
      <sz val="10"/>
      <color rgb="FF0000FF"/>
      <name val="Arial"/>
    </font>
    <font>
      <b/>
      <i/>
      <u/>
      <sz val="14"/>
      <name val="Arial"/>
    </font>
    <font>
      <u/>
      <sz val="8"/>
      <color theme="10"/>
      <name val="Arial"/>
    </font>
    <font>
      <sz val="16"/>
      <color rgb="FFFF0000"/>
      <name val="Arial"/>
      <family val="2"/>
      <charset val="204"/>
    </font>
  </fonts>
  <fills count="3">
    <fill>
      <patternFill patternType="none"/>
    </fill>
    <fill>
      <patternFill patternType="gray125"/>
    </fill>
    <fill>
      <patternFill patternType="solid">
        <fgColor theme="9" tint="0.79998168889431442"/>
        <bgColor indexed="64"/>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7" fillId="0" borderId="0" applyNumberFormat="0" applyFill="0" applyBorder="0" applyAlignment="0" applyProtection="0">
      <alignment vertical="top"/>
      <protection locked="0"/>
    </xf>
  </cellStyleXfs>
  <cellXfs count="28">
    <xf numFmtId="0" fontId="0" fillId="0" borderId="0" xfId="0"/>
    <xf numFmtId="0" fontId="0" fillId="0" borderId="0" xfId="0" applyAlignment="1">
      <alignment horizontal="left"/>
    </xf>
    <xf numFmtId="0" fontId="1" fillId="0" borderId="0" xfId="0" applyFont="1" applyAlignment="1">
      <alignment horizontal="left" vertical="center"/>
    </xf>
    <xf numFmtId="0" fontId="2" fillId="0" borderId="0" xfId="0" applyFont="1" applyAlignment="1">
      <alignment horizontal="center" wrapText="1"/>
    </xf>
    <xf numFmtId="0" fontId="2" fillId="0" borderId="0" xfId="0" applyFont="1" applyAlignment="1">
      <alignment horizontal="left"/>
    </xf>
    <xf numFmtId="0" fontId="3" fillId="0" borderId="0" xfId="0" applyFont="1" applyAlignment="1">
      <alignment horizontal="left"/>
    </xf>
    <xf numFmtId="0" fontId="2" fillId="0" borderId="1" xfId="0" applyFont="1" applyBorder="1" applyAlignment="1">
      <alignment horizontal="left" vertical="top"/>
    </xf>
    <xf numFmtId="0" fontId="1" fillId="0" borderId="0" xfId="0" applyFont="1" applyAlignment="1">
      <alignment horizontal="left" vertical="top"/>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5" fillId="0" borderId="6" xfId="0" applyFont="1" applyBorder="1" applyAlignment="1">
      <alignment horizontal="center" vertical="center"/>
    </xf>
    <xf numFmtId="0" fontId="0" fillId="0" borderId="2" xfId="0" applyBorder="1" applyAlignment="1">
      <alignment horizontal="left" vertical="top"/>
    </xf>
    <xf numFmtId="0" fontId="6" fillId="0" borderId="2" xfId="0" applyFont="1" applyBorder="1" applyAlignment="1">
      <alignment horizontal="left" vertical="top"/>
    </xf>
    <xf numFmtId="1" fontId="0" fillId="0" borderId="2" xfId="0" applyNumberFormat="1" applyBorder="1" applyAlignment="1">
      <alignment horizontal="right" vertical="top"/>
    </xf>
    <xf numFmtId="3" fontId="0" fillId="0" borderId="2" xfId="0" applyNumberFormat="1" applyBorder="1" applyAlignment="1">
      <alignment horizontal="right" vertical="top"/>
    </xf>
    <xf numFmtId="0" fontId="0" fillId="0" borderId="2" xfId="0" applyBorder="1" applyAlignment="1">
      <alignment horizontal="left" vertical="top" wrapText="1"/>
    </xf>
    <xf numFmtId="164" fontId="0" fillId="0" borderId="2" xfId="0" applyNumberFormat="1" applyBorder="1" applyAlignment="1">
      <alignment horizontal="right" vertical="top"/>
    </xf>
    <xf numFmtId="2" fontId="0" fillId="0" borderId="2" xfId="0" applyNumberFormat="1" applyBorder="1" applyAlignment="1">
      <alignment horizontal="right" vertical="top"/>
    </xf>
    <xf numFmtId="0" fontId="7" fillId="0" borderId="2" xfId="1" applyBorder="1" applyAlignment="1" applyProtection="1">
      <alignment horizontal="left" vertical="top"/>
    </xf>
    <xf numFmtId="0" fontId="2" fillId="0" borderId="2" xfId="0" applyFont="1" applyBorder="1" applyAlignment="1">
      <alignment horizontal="left"/>
    </xf>
    <xf numFmtId="0" fontId="4" fillId="0" borderId="0" xfId="0" applyFont="1" applyAlignment="1">
      <alignment horizontal="center" vertical="top" wrapText="1"/>
    </xf>
    <xf numFmtId="0" fontId="4" fillId="0" borderId="0" xfId="0" applyFont="1" applyAlignment="1">
      <alignment horizontal="center" wrapText="1"/>
    </xf>
    <xf numFmtId="0" fontId="1" fillId="0" borderId="1" xfId="0" applyFont="1" applyBorder="1" applyAlignment="1">
      <alignment horizontal="center" wrapText="1"/>
    </xf>
    <xf numFmtId="0" fontId="8" fillId="0" borderId="0" xfId="0" applyFont="1" applyAlignment="1">
      <alignment horizontal="left"/>
    </xf>
    <xf numFmtId="0" fontId="5" fillId="2" borderId="6" xfId="0" applyFont="1" applyFill="1" applyBorder="1" applyAlignment="1">
      <alignment horizontal="center" vertical="center"/>
    </xf>
    <xf numFmtId="0" fontId="0" fillId="2" borderId="2" xfId="0" applyFill="1" applyBorder="1" applyAlignment="1">
      <alignment horizontal="left" vertical="top"/>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190500</xdr:rowOff>
    </xdr:from>
    <xdr:to>
      <xdr:col>8</xdr:col>
      <xdr:colOff>180975</xdr:colOff>
      <xdr:row>5</xdr:row>
      <xdr:rowOff>266700</xdr:rowOff>
    </xdr:to>
    <xdr:pic>
      <xdr:nvPicPr>
        <xdr:cNvPr id="3" name="Имя " descr="Descr "/>
        <xdr:cNvPicPr>
          <a:picLocks noChangeAspect="1"/>
        </xdr:cNvPicPr>
      </xdr:nvPicPr>
      <xdr:blipFill>
        <a:blip xmlns:r="http://schemas.openxmlformats.org/officeDocument/2006/relationships" r:embed="rId1" cstate="print"/>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fitToPage="1"/>
  </sheetPr>
  <dimension ref="A1:J3010"/>
  <sheetViews>
    <sheetView tabSelected="1" topLeftCell="A3" workbookViewId="0">
      <selection activeCell="I17" sqref="I17:I3010"/>
    </sheetView>
  </sheetViews>
  <sheetFormatPr defaultColWidth="10.5" defaultRowHeight="11.45" customHeight="1"/>
  <cols>
    <col min="1" max="1" width="15.83203125" style="1" customWidth="1"/>
    <col min="2" max="2" width="57.83203125" style="1" customWidth="1"/>
    <col min="3" max="3" width="13.5" style="1" customWidth="1"/>
    <col min="4" max="4" width="14.83203125" style="1" customWidth="1"/>
    <col min="5" max="5" width="15.5" style="1" customWidth="1"/>
    <col min="6" max="6" width="44.33203125" style="1" customWidth="1"/>
    <col min="7" max="7" width="11.1640625" style="1" customWidth="1"/>
    <col min="8" max="8" width="19.5" style="1" customWidth="1"/>
    <col min="9" max="9" width="11.1640625" style="1" customWidth="1"/>
    <col min="10" max="10" width="18.1640625" style="1" customWidth="1"/>
  </cols>
  <sheetData>
    <row r="1" spans="1:10" ht="15.95" customHeight="1">
      <c r="A1" s="2" t="s">
        <v>0</v>
      </c>
      <c r="F1" s="3" t="s">
        <v>1</v>
      </c>
    </row>
    <row r="2" spans="1:10" ht="15.95" customHeight="1">
      <c r="A2" s="4" t="s">
        <v>2</v>
      </c>
      <c r="J2" s="5" t="s">
        <v>3</v>
      </c>
    </row>
    <row r="3" spans="1:10" ht="15.95" customHeight="1">
      <c r="A3" s="4" t="s">
        <v>4</v>
      </c>
    </row>
    <row r="4" spans="1:10" ht="15.95" customHeight="1">
      <c r="A4" s="6" t="s">
        <v>5</v>
      </c>
    </row>
    <row r="5" spans="1:10" ht="15.95" customHeight="1">
      <c r="A5" s="7" t="s">
        <v>6</v>
      </c>
    </row>
    <row r="6" spans="1:10" ht="33" customHeight="1">
      <c r="A6" s="24" t="s">
        <v>7</v>
      </c>
      <c r="B6" s="24"/>
      <c r="C6" s="24"/>
      <c r="D6" s="24"/>
      <c r="E6" s="24"/>
      <c r="J6" s="25">
        <f>SUM(J19:J3010)</f>
        <v>0</v>
      </c>
    </row>
    <row r="7" spans="1:10" ht="15.95" customHeight="1"/>
    <row r="8" spans="1:10" ht="15.95" customHeight="1">
      <c r="A8" s="21" t="s">
        <v>8</v>
      </c>
      <c r="B8" s="21"/>
      <c r="C8" s="8"/>
      <c r="D8" s="8"/>
      <c r="E8" s="9"/>
      <c r="F8" s="10"/>
      <c r="G8" s="10"/>
      <c r="H8" s="10"/>
      <c r="I8" s="10"/>
      <c r="J8" s="11"/>
    </row>
    <row r="9" spans="1:10" ht="15.95" customHeight="1">
      <c r="A9" s="21" t="s">
        <v>9</v>
      </c>
      <c r="B9" s="21"/>
      <c r="C9" s="8"/>
      <c r="D9" s="8"/>
      <c r="E9" s="9"/>
      <c r="F9" s="10"/>
      <c r="G9" s="10"/>
      <c r="H9" s="10"/>
      <c r="I9" s="10"/>
      <c r="J9" s="11"/>
    </row>
    <row r="10" spans="1:10" ht="15.95" customHeight="1">
      <c r="A10" s="21" t="s">
        <v>10</v>
      </c>
      <c r="B10" s="21"/>
      <c r="C10" s="8"/>
      <c r="D10" s="8"/>
      <c r="E10" s="9"/>
      <c r="F10" s="10"/>
      <c r="G10" s="10"/>
      <c r="H10" s="10"/>
      <c r="I10" s="10"/>
      <c r="J10" s="11"/>
    </row>
    <row r="11" spans="1:10" ht="15.95" customHeight="1">
      <c r="A11" s="21" t="s">
        <v>11</v>
      </c>
      <c r="B11" s="21"/>
      <c r="C11" s="8"/>
      <c r="D11" s="8"/>
      <c r="E11" s="9"/>
      <c r="F11" s="10"/>
      <c r="G11" s="10"/>
      <c r="H11" s="10"/>
      <c r="I11" s="10"/>
      <c r="J11" s="11"/>
    </row>
    <row r="12" spans="1:10" ht="15.95" customHeight="1">
      <c r="A12" s="21" t="s">
        <v>12</v>
      </c>
      <c r="B12" s="21"/>
      <c r="C12" s="8"/>
      <c r="D12" s="8"/>
      <c r="E12" s="9"/>
      <c r="F12" s="10"/>
      <c r="G12" s="10"/>
      <c r="H12" s="10"/>
      <c r="I12" s="10"/>
      <c r="J12" s="11"/>
    </row>
    <row r="13" spans="1:10" ht="15.95" customHeight="1"/>
    <row r="14" spans="1:10" ht="26.1" customHeight="1">
      <c r="A14" s="22" t="s">
        <v>13</v>
      </c>
      <c r="B14" s="22"/>
      <c r="C14" s="22"/>
      <c r="D14" s="22"/>
      <c r="E14" s="22"/>
      <c r="F14" s="22"/>
      <c r="G14" s="22"/>
      <c r="H14" s="22"/>
      <c r="I14" s="22"/>
      <c r="J14" s="22"/>
    </row>
    <row r="15" spans="1:10" ht="12.95" customHeight="1">
      <c r="A15" s="23" t="s">
        <v>14</v>
      </c>
      <c r="B15" s="23"/>
      <c r="C15" s="23"/>
      <c r="D15" s="23"/>
      <c r="E15" s="23"/>
      <c r="F15" s="23"/>
      <c r="G15" s="23"/>
      <c r="H15" s="23"/>
      <c r="I15" s="23"/>
      <c r="J15" s="23"/>
    </row>
    <row r="16" spans="1:10" ht="11.1" customHeight="1"/>
    <row r="17" spans="1:10" s="1" customFormat="1" ht="24.95" customHeight="1">
      <c r="A17" s="12" t="s">
        <v>15</v>
      </c>
      <c r="B17" s="12" t="s">
        <v>16</v>
      </c>
      <c r="C17" s="12" t="s">
        <v>17</v>
      </c>
      <c r="D17" s="12" t="s">
        <v>18</v>
      </c>
      <c r="E17" s="12" t="s">
        <v>19</v>
      </c>
      <c r="F17" s="12" t="s">
        <v>20</v>
      </c>
      <c r="G17" s="12" t="s">
        <v>21</v>
      </c>
      <c r="H17" s="12" t="s">
        <v>22</v>
      </c>
      <c r="I17" s="26" t="s">
        <v>23</v>
      </c>
      <c r="J17" s="12" t="s">
        <v>24</v>
      </c>
    </row>
    <row r="18" spans="1:10" ht="18.95" customHeight="1">
      <c r="A18" s="13"/>
      <c r="B18" s="14" t="s">
        <v>25</v>
      </c>
      <c r="C18" s="13"/>
      <c r="D18" s="13"/>
      <c r="E18" s="13"/>
      <c r="F18" s="13"/>
      <c r="G18" s="13"/>
      <c r="H18" s="13"/>
      <c r="I18" s="27"/>
      <c r="J18" s="13"/>
    </row>
    <row r="19" spans="1:10" ht="12" customHeight="1">
      <c r="A19" s="13"/>
      <c r="B19" s="13" t="s">
        <v>26</v>
      </c>
      <c r="C19" s="13" t="s">
        <v>27</v>
      </c>
      <c r="D19" s="13" t="s">
        <v>28</v>
      </c>
      <c r="E19" s="13"/>
      <c r="F19" s="13" t="s">
        <v>29</v>
      </c>
      <c r="G19" s="20" t="str">
        <f>HYPERLINK("https://semena-nn.ru/catalog/92/999000012672","Фото")</f>
        <v>Фото</v>
      </c>
      <c r="H19" s="15">
        <v>50</v>
      </c>
      <c r="I19" s="27"/>
      <c r="J19" s="13">
        <f t="shared" ref="J19:J41" si="0">H19*I19</f>
        <v>0</v>
      </c>
    </row>
    <row r="20" spans="1:10" ht="18.95" customHeight="1">
      <c r="A20" s="13"/>
      <c r="B20" s="14" t="s">
        <v>30</v>
      </c>
      <c r="C20" s="13"/>
      <c r="D20" s="13"/>
      <c r="E20" s="13"/>
      <c r="F20" s="13"/>
      <c r="G20" s="13"/>
      <c r="H20" s="13"/>
      <c r="I20" s="27"/>
      <c r="J20" s="13">
        <f t="shared" si="0"/>
        <v>0</v>
      </c>
    </row>
    <row r="21" spans="1:10" ht="12" customHeight="1">
      <c r="A21" s="13" t="s">
        <v>31</v>
      </c>
      <c r="B21" s="13" t="s">
        <v>32</v>
      </c>
      <c r="C21" s="13" t="s">
        <v>33</v>
      </c>
      <c r="D21" s="13" t="s">
        <v>34</v>
      </c>
      <c r="E21" s="13"/>
      <c r="F21" s="13" t="s">
        <v>35</v>
      </c>
      <c r="G21" s="20" t="str">
        <f>HYPERLINK("http://semena-nn.ru/catalog/1/1118882","Фото")</f>
        <v>Фото</v>
      </c>
      <c r="H21" s="15">
        <v>65</v>
      </c>
      <c r="I21" s="27"/>
      <c r="J21" s="13">
        <f t="shared" si="0"/>
        <v>0</v>
      </c>
    </row>
    <row r="22" spans="1:10" ht="12" customHeight="1">
      <c r="A22" s="13" t="s">
        <v>36</v>
      </c>
      <c r="B22" s="13" t="s">
        <v>37</v>
      </c>
      <c r="C22" s="13" t="s">
        <v>33</v>
      </c>
      <c r="D22" s="13" t="s">
        <v>38</v>
      </c>
      <c r="E22" s="13" t="s">
        <v>39</v>
      </c>
      <c r="F22" s="13" t="s">
        <v>40</v>
      </c>
      <c r="G22" s="20" t="str">
        <f>HYPERLINK("https://semena-nn.ru/catalog/1/999000009041","Фото")</f>
        <v>Фото</v>
      </c>
      <c r="H22" s="15">
        <v>140</v>
      </c>
      <c r="I22" s="27"/>
      <c r="J22" s="13">
        <f t="shared" si="0"/>
        <v>0</v>
      </c>
    </row>
    <row r="23" spans="1:10" ht="12" customHeight="1">
      <c r="A23" s="13" t="s">
        <v>41</v>
      </c>
      <c r="B23" s="13" t="s">
        <v>42</v>
      </c>
      <c r="C23" s="13" t="s">
        <v>33</v>
      </c>
      <c r="D23" s="13" t="s">
        <v>38</v>
      </c>
      <c r="E23" s="13" t="s">
        <v>39</v>
      </c>
      <c r="F23" s="13" t="s">
        <v>43</v>
      </c>
      <c r="G23" s="20" t="str">
        <f>HYPERLINK("https://semena-nn.ru/catalog/1/1309484","Фото")</f>
        <v>Фото</v>
      </c>
      <c r="H23" s="15">
        <v>87</v>
      </c>
      <c r="I23" s="27"/>
      <c r="J23" s="13">
        <f t="shared" si="0"/>
        <v>0</v>
      </c>
    </row>
    <row r="24" spans="1:10" ht="18.95" customHeight="1">
      <c r="A24" s="13"/>
      <c r="B24" s="14" t="s">
        <v>44</v>
      </c>
      <c r="C24" s="13"/>
      <c r="D24" s="13"/>
      <c r="E24" s="13"/>
      <c r="F24" s="13"/>
      <c r="G24" s="13"/>
      <c r="H24" s="13"/>
      <c r="I24" s="27"/>
      <c r="J24" s="13">
        <f t="shared" si="0"/>
        <v>0</v>
      </c>
    </row>
    <row r="25" spans="1:10" ht="18.95" customHeight="1">
      <c r="A25" s="13"/>
      <c r="B25" s="14" t="s">
        <v>45</v>
      </c>
      <c r="C25" s="13"/>
      <c r="D25" s="13"/>
      <c r="E25" s="13"/>
      <c r="F25" s="13"/>
      <c r="G25" s="13"/>
      <c r="H25" s="13"/>
      <c r="I25" s="27"/>
      <c r="J25" s="13">
        <f t="shared" si="0"/>
        <v>0</v>
      </c>
    </row>
    <row r="26" spans="1:10" ht="12" customHeight="1">
      <c r="A26" s="13" t="s">
        <v>46</v>
      </c>
      <c r="B26" s="13" t="s">
        <v>47</v>
      </c>
      <c r="C26" s="13" t="s">
        <v>33</v>
      </c>
      <c r="D26" s="13" t="s">
        <v>34</v>
      </c>
      <c r="E26" s="13" t="s">
        <v>48</v>
      </c>
      <c r="F26" s="13" t="s">
        <v>49</v>
      </c>
      <c r="G26" s="20" t="str">
        <f>HYPERLINK("https://semena-nn.ru/catalog/1/888000001319","Фото")</f>
        <v>Фото</v>
      </c>
      <c r="H26" s="16">
        <v>1169</v>
      </c>
      <c r="I26" s="27"/>
      <c r="J26" s="13">
        <f t="shared" si="0"/>
        <v>0</v>
      </c>
    </row>
    <row r="27" spans="1:10" ht="12" customHeight="1">
      <c r="A27" s="13" t="s">
        <v>50</v>
      </c>
      <c r="B27" s="13" t="s">
        <v>51</v>
      </c>
      <c r="C27" s="13" t="s">
        <v>33</v>
      </c>
      <c r="D27" s="13" t="s">
        <v>34</v>
      </c>
      <c r="E27" s="13" t="s">
        <v>48</v>
      </c>
      <c r="F27" s="13" t="s">
        <v>52</v>
      </c>
      <c r="G27" s="20" t="str">
        <f>HYPERLINK("http://semena-nn.ru/catalog/1/999000003376","Фото")</f>
        <v>Фото</v>
      </c>
      <c r="H27" s="15">
        <v>528</v>
      </c>
      <c r="I27" s="27"/>
      <c r="J27" s="13">
        <f t="shared" si="0"/>
        <v>0</v>
      </c>
    </row>
    <row r="28" spans="1:10" ht="12" customHeight="1">
      <c r="A28" s="13" t="s">
        <v>53</v>
      </c>
      <c r="B28" s="13" t="s">
        <v>54</v>
      </c>
      <c r="C28" s="13" t="s">
        <v>33</v>
      </c>
      <c r="D28" s="13" t="s">
        <v>34</v>
      </c>
      <c r="E28" s="13" t="s">
        <v>48</v>
      </c>
      <c r="F28" s="13" t="s">
        <v>52</v>
      </c>
      <c r="G28" s="20" t="str">
        <f>HYPERLINK("https://semena-nn.ru/catalog/1/999000007444","Фото")</f>
        <v>Фото</v>
      </c>
      <c r="H28" s="16">
        <v>2337</v>
      </c>
      <c r="I28" s="27"/>
      <c r="J28" s="13">
        <f t="shared" si="0"/>
        <v>0</v>
      </c>
    </row>
    <row r="29" spans="1:10" ht="12" customHeight="1">
      <c r="A29" s="13" t="s">
        <v>55</v>
      </c>
      <c r="B29" s="13" t="s">
        <v>56</v>
      </c>
      <c r="C29" s="13" t="s">
        <v>33</v>
      </c>
      <c r="D29" s="13" t="s">
        <v>34</v>
      </c>
      <c r="E29" s="13" t="s">
        <v>48</v>
      </c>
      <c r="F29" s="13" t="s">
        <v>57</v>
      </c>
      <c r="G29" s="20" t="str">
        <f>HYPERLINK("https://semena-nn.ru/catalog/1/999000005187","Фото")</f>
        <v>Фото</v>
      </c>
      <c r="H29" s="16">
        <v>1566</v>
      </c>
      <c r="I29" s="27"/>
      <c r="J29" s="13">
        <f t="shared" si="0"/>
        <v>0</v>
      </c>
    </row>
    <row r="30" spans="1:10" ht="12" customHeight="1">
      <c r="A30" s="13" t="s">
        <v>58</v>
      </c>
      <c r="B30" s="13" t="s">
        <v>59</v>
      </c>
      <c r="C30" s="13" t="s">
        <v>33</v>
      </c>
      <c r="D30" s="13" t="s">
        <v>34</v>
      </c>
      <c r="E30" s="13" t="s">
        <v>48</v>
      </c>
      <c r="F30" s="13" t="s">
        <v>60</v>
      </c>
      <c r="G30" s="20" t="str">
        <f>HYPERLINK("https://semena-nn.ru/catalog/1/888000001316","Фото")</f>
        <v>Фото</v>
      </c>
      <c r="H30" s="16">
        <v>1170</v>
      </c>
      <c r="I30" s="27"/>
      <c r="J30" s="13">
        <f t="shared" si="0"/>
        <v>0</v>
      </c>
    </row>
    <row r="31" spans="1:10" ht="12" customHeight="1">
      <c r="A31" s="13" t="s">
        <v>61</v>
      </c>
      <c r="B31" s="13" t="s">
        <v>62</v>
      </c>
      <c r="C31" s="13" t="s">
        <v>33</v>
      </c>
      <c r="D31" s="13" t="s">
        <v>34</v>
      </c>
      <c r="E31" s="13" t="s">
        <v>48</v>
      </c>
      <c r="F31" s="13" t="s">
        <v>63</v>
      </c>
      <c r="G31" s="20" t="str">
        <f>HYPERLINK("http://semena-nn.ru/catalog/1/999000003378","Фото")</f>
        <v>Фото</v>
      </c>
      <c r="H31" s="15">
        <v>482</v>
      </c>
      <c r="I31" s="27"/>
      <c r="J31" s="13">
        <f t="shared" si="0"/>
        <v>0</v>
      </c>
    </row>
    <row r="32" spans="1:10" ht="12" customHeight="1">
      <c r="A32" s="13" t="s">
        <v>64</v>
      </c>
      <c r="B32" s="13" t="s">
        <v>65</v>
      </c>
      <c r="C32" s="13" t="s">
        <v>33</v>
      </c>
      <c r="D32" s="13" t="s">
        <v>34</v>
      </c>
      <c r="E32" s="13" t="s">
        <v>48</v>
      </c>
      <c r="F32" s="13" t="s">
        <v>63</v>
      </c>
      <c r="G32" s="20" t="str">
        <f>HYPERLINK("https://semena-nn.ru/catalog/1/999000005194","Фото")</f>
        <v>Фото</v>
      </c>
      <c r="H32" s="16">
        <v>4292</v>
      </c>
      <c r="I32" s="27"/>
      <c r="J32" s="13">
        <f t="shared" si="0"/>
        <v>0</v>
      </c>
    </row>
    <row r="33" spans="1:10" ht="12" customHeight="1">
      <c r="A33" s="13" t="s">
        <v>66</v>
      </c>
      <c r="B33" s="13" t="s">
        <v>67</v>
      </c>
      <c r="C33" s="13" t="s">
        <v>33</v>
      </c>
      <c r="D33" s="13" t="s">
        <v>34</v>
      </c>
      <c r="E33" s="13" t="s">
        <v>48</v>
      </c>
      <c r="F33" s="13" t="s">
        <v>63</v>
      </c>
      <c r="G33" s="20" t="str">
        <f>HYPERLINK("https://semena-nn.ru/catalog/1/999000005195","Фото")</f>
        <v>Фото</v>
      </c>
      <c r="H33" s="16">
        <v>8903</v>
      </c>
      <c r="I33" s="27"/>
      <c r="J33" s="13">
        <f t="shared" si="0"/>
        <v>0</v>
      </c>
    </row>
    <row r="34" spans="1:10" ht="12" customHeight="1">
      <c r="A34" s="13" t="s">
        <v>68</v>
      </c>
      <c r="B34" s="13" t="s">
        <v>69</v>
      </c>
      <c r="C34" s="13" t="s">
        <v>33</v>
      </c>
      <c r="D34" s="13" t="s">
        <v>34</v>
      </c>
      <c r="E34" s="13" t="s">
        <v>48</v>
      </c>
      <c r="F34" s="13" t="s">
        <v>70</v>
      </c>
      <c r="G34" s="20" t="str">
        <f>HYPERLINK("http://semena-nn.ru/catalog/1/999000003379","Фото")</f>
        <v>Фото</v>
      </c>
      <c r="H34" s="15">
        <v>493</v>
      </c>
      <c r="I34" s="27"/>
      <c r="J34" s="13">
        <f t="shared" si="0"/>
        <v>0</v>
      </c>
    </row>
    <row r="35" spans="1:10" ht="12" customHeight="1">
      <c r="A35" s="13" t="s">
        <v>71</v>
      </c>
      <c r="B35" s="13" t="s">
        <v>72</v>
      </c>
      <c r="C35" s="13" t="s">
        <v>33</v>
      </c>
      <c r="D35" s="13" t="s">
        <v>34</v>
      </c>
      <c r="E35" s="13" t="s">
        <v>48</v>
      </c>
      <c r="F35" s="13" t="s">
        <v>70</v>
      </c>
      <c r="G35" s="20" t="str">
        <f>HYPERLINK("https://semena-nn.ru/catalog/1/999000007447","Фото")</f>
        <v>Фото</v>
      </c>
      <c r="H35" s="16">
        <v>4492</v>
      </c>
      <c r="I35" s="27"/>
      <c r="J35" s="13">
        <f t="shared" si="0"/>
        <v>0</v>
      </c>
    </row>
    <row r="36" spans="1:10" ht="12" customHeight="1">
      <c r="A36" s="13" t="s">
        <v>73</v>
      </c>
      <c r="B36" s="13" t="s">
        <v>74</v>
      </c>
      <c r="C36" s="13" t="s">
        <v>33</v>
      </c>
      <c r="D36" s="13" t="s">
        <v>34</v>
      </c>
      <c r="E36" s="13" t="s">
        <v>48</v>
      </c>
      <c r="F36" s="13" t="s">
        <v>70</v>
      </c>
      <c r="G36" s="20" t="str">
        <f>HYPERLINK("http://semena-nn.ru/catalog/1/999000003382","Фото")</f>
        <v>Фото</v>
      </c>
      <c r="H36" s="16">
        <v>1205</v>
      </c>
      <c r="I36" s="27"/>
      <c r="J36" s="13">
        <f t="shared" si="0"/>
        <v>0</v>
      </c>
    </row>
    <row r="37" spans="1:10" ht="12" customHeight="1">
      <c r="A37" s="13" t="s">
        <v>75</v>
      </c>
      <c r="B37" s="13" t="s">
        <v>76</v>
      </c>
      <c r="C37" s="13" t="s">
        <v>33</v>
      </c>
      <c r="D37" s="13" t="s">
        <v>34</v>
      </c>
      <c r="E37" s="13" t="s">
        <v>48</v>
      </c>
      <c r="F37" s="13" t="s">
        <v>70</v>
      </c>
      <c r="G37" s="20" t="str">
        <f>HYPERLINK("https://semena-nn.ru/catalog/1/888000001317","Фото")</f>
        <v>Фото</v>
      </c>
      <c r="H37" s="16">
        <v>9147</v>
      </c>
      <c r="I37" s="27"/>
      <c r="J37" s="13">
        <f t="shared" si="0"/>
        <v>0</v>
      </c>
    </row>
    <row r="38" spans="1:10" ht="12" customHeight="1">
      <c r="A38" s="13" t="s">
        <v>77</v>
      </c>
      <c r="B38" s="13" t="s">
        <v>78</v>
      </c>
      <c r="C38" s="13" t="s">
        <v>33</v>
      </c>
      <c r="D38" s="13" t="s">
        <v>34</v>
      </c>
      <c r="E38" s="13" t="s">
        <v>48</v>
      </c>
      <c r="F38" s="13" t="s">
        <v>79</v>
      </c>
      <c r="G38" s="20" t="str">
        <f>HYPERLINK("http://semena-nn.ru/catalog/1/999000003381","Фото")</f>
        <v>Фото</v>
      </c>
      <c r="H38" s="15">
        <v>476</v>
      </c>
      <c r="I38" s="27"/>
      <c r="J38" s="13">
        <f t="shared" si="0"/>
        <v>0</v>
      </c>
    </row>
    <row r="39" spans="1:10" ht="12" customHeight="1">
      <c r="A39" s="13" t="s">
        <v>80</v>
      </c>
      <c r="B39" s="13" t="s">
        <v>81</v>
      </c>
      <c r="C39" s="13" t="s">
        <v>33</v>
      </c>
      <c r="D39" s="13" t="s">
        <v>34</v>
      </c>
      <c r="E39" s="13" t="s">
        <v>48</v>
      </c>
      <c r="F39" s="13" t="s">
        <v>79</v>
      </c>
      <c r="G39" s="20" t="str">
        <f>HYPERLINK("https://semena-nn.ru/catalog/1/999000007449","Фото")</f>
        <v>Фото</v>
      </c>
      <c r="H39" s="16">
        <v>4251</v>
      </c>
      <c r="I39" s="27"/>
      <c r="J39" s="13">
        <f t="shared" si="0"/>
        <v>0</v>
      </c>
    </row>
    <row r="40" spans="1:10" ht="12" customHeight="1">
      <c r="A40" s="13" t="s">
        <v>82</v>
      </c>
      <c r="B40" s="13" t="s">
        <v>83</v>
      </c>
      <c r="C40" s="13" t="s">
        <v>33</v>
      </c>
      <c r="D40" s="13" t="s">
        <v>34</v>
      </c>
      <c r="E40" s="13" t="s">
        <v>48</v>
      </c>
      <c r="F40" s="13" t="s">
        <v>79</v>
      </c>
      <c r="G40" s="20" t="str">
        <f>HYPERLINK("http://semena-nn.ru/catalog/1/999000003383","Фото")</f>
        <v>Фото</v>
      </c>
      <c r="H40" s="16">
        <v>1137</v>
      </c>
      <c r="I40" s="27"/>
      <c r="J40" s="13">
        <f t="shared" si="0"/>
        <v>0</v>
      </c>
    </row>
    <row r="41" spans="1:10" ht="12" customHeight="1">
      <c r="A41" s="13" t="s">
        <v>84</v>
      </c>
      <c r="B41" s="13" t="s">
        <v>85</v>
      </c>
      <c r="C41" s="13" t="s">
        <v>33</v>
      </c>
      <c r="D41" s="13" t="s">
        <v>34</v>
      </c>
      <c r="E41" s="13" t="s">
        <v>48</v>
      </c>
      <c r="F41" s="13" t="s">
        <v>79</v>
      </c>
      <c r="G41" s="20" t="str">
        <f>HYPERLINK("https://semena-nn.ru/catalog/1/999000003393","Фото")</f>
        <v>Фото</v>
      </c>
      <c r="H41" s="16">
        <v>2226</v>
      </c>
      <c r="I41" s="27"/>
      <c r="J41" s="13">
        <f t="shared" si="0"/>
        <v>0</v>
      </c>
    </row>
    <row r="42" spans="1:10" ht="18.95" customHeight="1">
      <c r="A42" s="13"/>
      <c r="B42" s="14" t="s">
        <v>8986</v>
      </c>
      <c r="C42" s="13"/>
      <c r="D42" s="13"/>
      <c r="E42" s="13"/>
      <c r="F42" s="13"/>
      <c r="G42" s="13"/>
      <c r="H42" s="13"/>
      <c r="I42" s="27"/>
      <c r="J42" s="13">
        <f t="shared" ref="J42" si="1">H42*I42</f>
        <v>0</v>
      </c>
    </row>
    <row r="43" spans="1:10" ht="12" customHeight="1">
      <c r="A43" s="13" t="s">
        <v>694</v>
      </c>
      <c r="B43" s="13" t="s">
        <v>695</v>
      </c>
      <c r="C43" s="13" t="s">
        <v>696</v>
      </c>
      <c r="D43" s="13" t="s">
        <v>697</v>
      </c>
      <c r="E43" s="13" t="s">
        <v>93</v>
      </c>
      <c r="F43" s="13" t="s">
        <v>698</v>
      </c>
      <c r="G43" s="20" t="str">
        <f>HYPERLINK("http://semena-nn.ru/catalog/38/1306025","Фото")</f>
        <v>Фото</v>
      </c>
      <c r="H43" s="18">
        <v>17.8</v>
      </c>
      <c r="I43" s="27"/>
      <c r="J43" s="13">
        <f>H43*I43</f>
        <v>0</v>
      </c>
    </row>
    <row r="44" spans="1:10" ht="12" customHeight="1">
      <c r="A44" s="13" t="s">
        <v>7146</v>
      </c>
      <c r="B44" s="13" t="s">
        <v>7147</v>
      </c>
      <c r="C44" s="13" t="s">
        <v>208</v>
      </c>
      <c r="D44" s="13" t="s">
        <v>7148</v>
      </c>
      <c r="E44" s="13" t="s">
        <v>93</v>
      </c>
      <c r="F44" s="13" t="s">
        <v>7149</v>
      </c>
      <c r="G44" s="20" t="str">
        <f>HYPERLINK("https://semena-nn.ru/catalog/53/999000019665","Фото")</f>
        <v>Фото</v>
      </c>
      <c r="H44" s="18">
        <v>65.5</v>
      </c>
      <c r="I44" s="27"/>
      <c r="J44" s="13">
        <f>H44*I44</f>
        <v>0</v>
      </c>
    </row>
    <row r="45" spans="1:10" ht="12" customHeight="1">
      <c r="A45" s="13" t="s">
        <v>6925</v>
      </c>
      <c r="B45" s="13" t="s">
        <v>6926</v>
      </c>
      <c r="C45" s="13" t="s">
        <v>701</v>
      </c>
      <c r="D45" s="13" t="s">
        <v>6927</v>
      </c>
      <c r="E45" s="13" t="s">
        <v>93</v>
      </c>
      <c r="F45" s="13" t="s">
        <v>6928</v>
      </c>
      <c r="G45" s="20" t="str">
        <f>HYPERLINK("https://semena-nn.ru/catalog/15/999000011648","Фото")</f>
        <v>Фото</v>
      </c>
      <c r="H45" s="18">
        <v>35.200000000000003</v>
      </c>
      <c r="I45" s="27"/>
      <c r="J45" s="13">
        <f>H45*I45</f>
        <v>0</v>
      </c>
    </row>
    <row r="46" spans="1:10" ht="12" customHeight="1">
      <c r="A46" s="13" t="s">
        <v>6929</v>
      </c>
      <c r="B46" s="13" t="s">
        <v>6930</v>
      </c>
      <c r="C46" s="13" t="s">
        <v>701</v>
      </c>
      <c r="D46" s="13" t="s">
        <v>6927</v>
      </c>
      <c r="E46" s="13" t="s">
        <v>93</v>
      </c>
      <c r="F46" s="13" t="s">
        <v>6931</v>
      </c>
      <c r="G46" s="20" t="str">
        <f>HYPERLINK("https://semena-nn.ru/catalog/15/999000006147","Фото")</f>
        <v>Фото</v>
      </c>
      <c r="H46" s="18">
        <v>29.7</v>
      </c>
      <c r="I46" s="27"/>
      <c r="J46" s="13">
        <f>H46*I46</f>
        <v>0</v>
      </c>
    </row>
    <row r="47" spans="1:10" ht="12" customHeight="1">
      <c r="A47" s="13" t="s">
        <v>5832</v>
      </c>
      <c r="B47" s="13" t="s">
        <v>5833</v>
      </c>
      <c r="C47" s="13" t="s">
        <v>701</v>
      </c>
      <c r="D47" s="13" t="s">
        <v>5834</v>
      </c>
      <c r="E47" s="13" t="s">
        <v>2636</v>
      </c>
      <c r="F47" s="13" t="s">
        <v>5835</v>
      </c>
      <c r="G47" s="20" t="str">
        <f>HYPERLINK("https://semena-nn.ru/catalog/15/888000001496","Фото")</f>
        <v>Фото</v>
      </c>
      <c r="H47" s="19">
        <v>7.14</v>
      </c>
      <c r="I47" s="27"/>
      <c r="J47" s="13">
        <f>H47*I47</f>
        <v>0</v>
      </c>
    </row>
    <row r="48" spans="1:10" ht="12" customHeight="1">
      <c r="A48" s="13" t="s">
        <v>699</v>
      </c>
      <c r="B48" s="13" t="s">
        <v>700</v>
      </c>
      <c r="C48" s="13" t="s">
        <v>701</v>
      </c>
      <c r="D48" s="13" t="s">
        <v>697</v>
      </c>
      <c r="E48" s="13" t="s">
        <v>93</v>
      </c>
      <c r="F48" s="13" t="s">
        <v>702</v>
      </c>
      <c r="G48" s="20" t="str">
        <f>HYPERLINK("http://semena-nn.ru/catalog/15/1121930","Фото")</f>
        <v>Фото</v>
      </c>
      <c r="H48" s="19">
        <v>25.35</v>
      </c>
      <c r="I48" s="27"/>
      <c r="J48" s="13">
        <f>H48*I48</f>
        <v>0</v>
      </c>
    </row>
    <row r="49" spans="1:10" ht="12" customHeight="1">
      <c r="A49" s="13" t="s">
        <v>5836</v>
      </c>
      <c r="B49" s="13" t="s">
        <v>5837</v>
      </c>
      <c r="C49" s="13" t="s">
        <v>701</v>
      </c>
      <c r="D49" s="13" t="s">
        <v>5834</v>
      </c>
      <c r="E49" s="13" t="s">
        <v>93</v>
      </c>
      <c r="F49" s="13" t="s">
        <v>5838</v>
      </c>
      <c r="G49" s="20" t="str">
        <f>HYPERLINK("https://semena-nn.ru/catalog/15/888000001499","Фото")</f>
        <v>Фото</v>
      </c>
      <c r="H49" s="19">
        <v>18.170000000000002</v>
      </c>
      <c r="I49" s="27"/>
      <c r="J49" s="13">
        <f>H49*I49</f>
        <v>0</v>
      </c>
    </row>
    <row r="50" spans="1:10" ht="12" customHeight="1">
      <c r="A50" s="13" t="s">
        <v>7726</v>
      </c>
      <c r="B50" s="13" t="s">
        <v>7727</v>
      </c>
      <c r="C50" s="13" t="s">
        <v>701</v>
      </c>
      <c r="D50" s="13" t="s">
        <v>7728</v>
      </c>
      <c r="E50" s="13" t="s">
        <v>93</v>
      </c>
      <c r="F50" s="13" t="s">
        <v>7729</v>
      </c>
      <c r="G50" s="20" t="str">
        <f>HYPERLINK("https://semena-nn.ru/catalog/15/1126535","Фото")</f>
        <v>Фото</v>
      </c>
      <c r="H50" s="18">
        <v>43.3</v>
      </c>
      <c r="I50" s="27"/>
      <c r="J50" s="13">
        <f>H50*I50</f>
        <v>0</v>
      </c>
    </row>
    <row r="51" spans="1:10" ht="12" customHeight="1">
      <c r="A51" s="13" t="s">
        <v>5839</v>
      </c>
      <c r="B51" s="13" t="s">
        <v>5840</v>
      </c>
      <c r="C51" s="13" t="s">
        <v>701</v>
      </c>
      <c r="D51" s="13" t="s">
        <v>5834</v>
      </c>
      <c r="E51" s="13" t="s">
        <v>93</v>
      </c>
      <c r="F51" s="13" t="s">
        <v>5841</v>
      </c>
      <c r="G51" s="20" t="str">
        <f>HYPERLINK("https://semena-nn.ru/catalog/15/888000001501","Фото")</f>
        <v>Фото</v>
      </c>
      <c r="H51" s="19">
        <v>13.65</v>
      </c>
      <c r="I51" s="27"/>
      <c r="J51" s="13">
        <f>H51*I51</f>
        <v>0</v>
      </c>
    </row>
    <row r="52" spans="1:10" ht="12" customHeight="1">
      <c r="A52" s="13" t="s">
        <v>703</v>
      </c>
      <c r="B52" s="13" t="s">
        <v>704</v>
      </c>
      <c r="C52" s="13" t="s">
        <v>208</v>
      </c>
      <c r="D52" s="13" t="s">
        <v>697</v>
      </c>
      <c r="E52" s="13" t="s">
        <v>93</v>
      </c>
      <c r="F52" s="13" t="s">
        <v>705</v>
      </c>
      <c r="G52" s="20" t="str">
        <f>HYPERLINK("http://semena-nn.ru/catalog/53/1115027","Фото")</f>
        <v>Фото</v>
      </c>
      <c r="H52" s="19">
        <v>29.85</v>
      </c>
      <c r="I52" s="27"/>
      <c r="J52" s="13">
        <f>H52*I52</f>
        <v>0</v>
      </c>
    </row>
    <row r="53" spans="1:10" ht="12" customHeight="1">
      <c r="A53" s="13" t="s">
        <v>5134</v>
      </c>
      <c r="B53" s="13" t="s">
        <v>5135</v>
      </c>
      <c r="C53" s="13" t="s">
        <v>208</v>
      </c>
      <c r="D53" s="13" t="s">
        <v>5136</v>
      </c>
      <c r="E53" s="13" t="s">
        <v>93</v>
      </c>
      <c r="F53" s="13" t="s">
        <v>5137</v>
      </c>
      <c r="G53" s="20" t="str">
        <f>HYPERLINK("https://semena-nn.ru/catalog/53/999000013257","Фото")</f>
        <v>Фото</v>
      </c>
      <c r="H53" s="15">
        <v>37</v>
      </c>
      <c r="I53" s="27"/>
      <c r="J53" s="13">
        <f>H53*I53</f>
        <v>0</v>
      </c>
    </row>
    <row r="54" spans="1:10" ht="12" customHeight="1">
      <c r="A54" s="13" t="s">
        <v>706</v>
      </c>
      <c r="B54" s="13" t="s">
        <v>707</v>
      </c>
      <c r="C54" s="13" t="s">
        <v>201</v>
      </c>
      <c r="D54" s="13" t="s">
        <v>697</v>
      </c>
      <c r="E54" s="13" t="s">
        <v>93</v>
      </c>
      <c r="F54" s="13" t="s">
        <v>708</v>
      </c>
      <c r="G54" s="20" t="str">
        <f>HYPERLINK("http://semena-nn.ru/catalog/16/1285514","Фото")</f>
        <v>Фото</v>
      </c>
      <c r="H54" s="18">
        <v>17.8</v>
      </c>
      <c r="I54" s="27"/>
      <c r="J54" s="13">
        <f>H54*I54</f>
        <v>0</v>
      </c>
    </row>
    <row r="55" spans="1:10" ht="12" customHeight="1">
      <c r="A55" s="13" t="s">
        <v>2634</v>
      </c>
      <c r="B55" s="13" t="s">
        <v>2635</v>
      </c>
      <c r="C55" s="13" t="s">
        <v>201</v>
      </c>
      <c r="D55" s="13" t="s">
        <v>697</v>
      </c>
      <c r="E55" s="13" t="s">
        <v>2636</v>
      </c>
      <c r="F55" s="13" t="s">
        <v>2637</v>
      </c>
      <c r="G55" s="20" t="str">
        <f>HYPERLINK("http://semena-nn.ru/catalog/16/1119661","Фото")</f>
        <v>Фото</v>
      </c>
      <c r="H55" s="18">
        <v>7.2</v>
      </c>
      <c r="I55" s="27"/>
      <c r="J55" s="13">
        <f>H55*I55</f>
        <v>0</v>
      </c>
    </row>
    <row r="56" spans="1:10" ht="12" customHeight="1">
      <c r="A56" s="13" t="s">
        <v>3065</v>
      </c>
      <c r="B56" s="13" t="s">
        <v>3066</v>
      </c>
      <c r="C56" s="13" t="s">
        <v>201</v>
      </c>
      <c r="D56" s="13" t="s">
        <v>697</v>
      </c>
      <c r="E56" s="13" t="s">
        <v>3064</v>
      </c>
      <c r="F56" s="13" t="s">
        <v>3067</v>
      </c>
      <c r="G56" s="20" t="str">
        <f>HYPERLINK("http://semena-nn.ru/catalog/16/1287448","Фото")</f>
        <v>Фото</v>
      </c>
      <c r="H56" s="19">
        <v>12.65</v>
      </c>
      <c r="I56" s="27"/>
      <c r="J56" s="13">
        <f>H56*I56</f>
        <v>0</v>
      </c>
    </row>
    <row r="57" spans="1:10" ht="12" customHeight="1">
      <c r="A57" s="13" t="s">
        <v>709</v>
      </c>
      <c r="B57" s="13" t="s">
        <v>710</v>
      </c>
      <c r="C57" s="13" t="s">
        <v>201</v>
      </c>
      <c r="D57" s="13" t="s">
        <v>697</v>
      </c>
      <c r="E57" s="13" t="s">
        <v>93</v>
      </c>
      <c r="F57" s="13" t="s">
        <v>711</v>
      </c>
      <c r="G57" s="20" t="str">
        <f>HYPERLINK("https://semena-nn.ru/catalog/16/1285515","Фото")</f>
        <v>Фото</v>
      </c>
      <c r="H57" s="18">
        <v>17.8</v>
      </c>
      <c r="I57" s="27"/>
      <c r="J57" s="13">
        <f>H57*I57</f>
        <v>0</v>
      </c>
    </row>
    <row r="58" spans="1:10" ht="12" customHeight="1">
      <c r="A58" s="13" t="s">
        <v>6932</v>
      </c>
      <c r="B58" s="13" t="s">
        <v>6933</v>
      </c>
      <c r="C58" s="13" t="s">
        <v>201</v>
      </c>
      <c r="D58" s="13" t="s">
        <v>6927</v>
      </c>
      <c r="E58" s="13" t="s">
        <v>93</v>
      </c>
      <c r="F58" s="13" t="s">
        <v>6934</v>
      </c>
      <c r="G58" s="20" t="str">
        <f>HYPERLINK("https://semena-nn.ru/catalog/16/999000010156","Фото")</f>
        <v>Фото</v>
      </c>
      <c r="H58" s="18">
        <v>21.8</v>
      </c>
      <c r="I58" s="27"/>
      <c r="J58" s="13">
        <f>H58*I58</f>
        <v>0</v>
      </c>
    </row>
    <row r="59" spans="1:10" ht="12" customHeight="1">
      <c r="A59" s="13" t="s">
        <v>3473</v>
      </c>
      <c r="B59" s="13" t="s">
        <v>3474</v>
      </c>
      <c r="C59" s="13" t="s">
        <v>201</v>
      </c>
      <c r="D59" s="13" t="s">
        <v>3475</v>
      </c>
      <c r="E59" s="13" t="s">
        <v>93</v>
      </c>
      <c r="F59" s="13" t="s">
        <v>3476</v>
      </c>
      <c r="G59" s="20" t="str">
        <f>HYPERLINK("https://semena-nn.ru/catalog/16/888000000983","Фото")</f>
        <v>Фото</v>
      </c>
      <c r="H59" s="19">
        <v>23.85</v>
      </c>
      <c r="I59" s="27"/>
      <c r="J59" s="13">
        <f>H59*I59</f>
        <v>0</v>
      </c>
    </row>
    <row r="60" spans="1:10" ht="12" customHeight="1">
      <c r="A60" s="13" t="s">
        <v>199</v>
      </c>
      <c r="B60" s="13" t="s">
        <v>200</v>
      </c>
      <c r="C60" s="13" t="s">
        <v>201</v>
      </c>
      <c r="D60" s="13" t="s">
        <v>28</v>
      </c>
      <c r="E60" s="13" t="s">
        <v>93</v>
      </c>
      <c r="F60" s="13" t="s">
        <v>202</v>
      </c>
      <c r="G60" s="20" t="str">
        <f>HYPERLINK("https://semena-nn.ru/catalog/16/888000000557","Фото")</f>
        <v>Фото</v>
      </c>
      <c r="H60" s="19">
        <v>24.05</v>
      </c>
      <c r="I60" s="27"/>
      <c r="J60" s="13">
        <f>H60*I60</f>
        <v>0</v>
      </c>
    </row>
    <row r="61" spans="1:10" ht="12" customHeight="1">
      <c r="A61" s="13" t="s">
        <v>6427</v>
      </c>
      <c r="B61" s="13" t="s">
        <v>6428</v>
      </c>
      <c r="C61" s="13" t="s">
        <v>201</v>
      </c>
      <c r="D61" s="13" t="s">
        <v>87</v>
      </c>
      <c r="E61" s="13" t="s">
        <v>93</v>
      </c>
      <c r="F61" s="13" t="s">
        <v>6429</v>
      </c>
      <c r="G61" s="20" t="str">
        <f>HYPERLINK("http://semena-nn.ru/catalog/16/999000006875","Фото")</f>
        <v>Фото</v>
      </c>
      <c r="H61" s="19">
        <v>19.95</v>
      </c>
      <c r="I61" s="27"/>
      <c r="J61" s="13">
        <f>H61*I61</f>
        <v>0</v>
      </c>
    </row>
    <row r="62" spans="1:10" ht="12" customHeight="1">
      <c r="A62" s="13" t="s">
        <v>7730</v>
      </c>
      <c r="B62" s="13" t="s">
        <v>7731</v>
      </c>
      <c r="C62" s="13" t="s">
        <v>201</v>
      </c>
      <c r="D62" s="13" t="s">
        <v>7728</v>
      </c>
      <c r="E62" s="13" t="s">
        <v>93</v>
      </c>
      <c r="F62" s="13" t="s">
        <v>7732</v>
      </c>
      <c r="G62" s="20" t="str">
        <f>HYPERLINK("https://semena-nn.ru/catalog/16/1286903","Фото")</f>
        <v>Фото</v>
      </c>
      <c r="H62" s="18">
        <v>24.6</v>
      </c>
      <c r="I62" s="27"/>
      <c r="J62" s="13">
        <f>H62*I62</f>
        <v>0</v>
      </c>
    </row>
    <row r="63" spans="1:10" ht="12" customHeight="1">
      <c r="A63" s="13" t="s">
        <v>8715</v>
      </c>
      <c r="B63" s="13" t="s">
        <v>8716</v>
      </c>
      <c r="C63" s="13" t="s">
        <v>201</v>
      </c>
      <c r="D63" s="13" t="s">
        <v>8717</v>
      </c>
      <c r="E63" s="13" t="s">
        <v>93</v>
      </c>
      <c r="F63" s="13" t="s">
        <v>8718</v>
      </c>
      <c r="G63" s="20" t="str">
        <f>HYPERLINK("https://semena-nn.ru/catalog/16/999000008024","Фото")</f>
        <v>Фото</v>
      </c>
      <c r="H63" s="18">
        <v>33.9</v>
      </c>
      <c r="I63" s="27"/>
      <c r="J63" s="13">
        <f>H63*I63</f>
        <v>0</v>
      </c>
    </row>
    <row r="64" spans="1:10" ht="12" customHeight="1">
      <c r="A64" s="13" t="s">
        <v>2638</v>
      </c>
      <c r="B64" s="13" t="s">
        <v>2639</v>
      </c>
      <c r="C64" s="13" t="s">
        <v>201</v>
      </c>
      <c r="D64" s="13" t="s">
        <v>697</v>
      </c>
      <c r="E64" s="13" t="s">
        <v>2636</v>
      </c>
      <c r="F64" s="13" t="s">
        <v>2640</v>
      </c>
      <c r="G64" s="20" t="str">
        <f>HYPERLINK("http://semena-nn.ru/catalog/16/3082","Фото")</f>
        <v>Фото</v>
      </c>
      <c r="H64" s="18">
        <v>7.2</v>
      </c>
      <c r="I64" s="27"/>
      <c r="J64" s="13">
        <f>H64*I64</f>
        <v>0</v>
      </c>
    </row>
    <row r="65" spans="1:10" ht="12" customHeight="1">
      <c r="A65" s="13" t="s">
        <v>3477</v>
      </c>
      <c r="B65" s="13" t="s">
        <v>3478</v>
      </c>
      <c r="C65" s="13" t="s">
        <v>201</v>
      </c>
      <c r="D65" s="13" t="s">
        <v>3475</v>
      </c>
      <c r="E65" s="13" t="s">
        <v>93</v>
      </c>
      <c r="F65" s="13" t="s">
        <v>3479</v>
      </c>
      <c r="G65" s="20" t="str">
        <f>HYPERLINK("https://semena-nn.ru/catalog/16/999000012485","Фото")</f>
        <v>Фото</v>
      </c>
      <c r="H65" s="18">
        <v>18.2</v>
      </c>
      <c r="I65" s="27"/>
      <c r="J65" s="13">
        <f>H65*I65</f>
        <v>0</v>
      </c>
    </row>
    <row r="66" spans="1:10" ht="12" customHeight="1">
      <c r="A66" s="13" t="s">
        <v>712</v>
      </c>
      <c r="B66" s="13" t="s">
        <v>713</v>
      </c>
      <c r="C66" s="13" t="s">
        <v>201</v>
      </c>
      <c r="D66" s="13" t="s">
        <v>697</v>
      </c>
      <c r="E66" s="13" t="s">
        <v>93</v>
      </c>
      <c r="F66" s="13" t="s">
        <v>714</v>
      </c>
      <c r="G66" s="20" t="str">
        <f>HYPERLINK("http://semena-nn.ru/catalog/2/16/big_108750.jpg","Фото")</f>
        <v>Фото</v>
      </c>
      <c r="H66" s="18">
        <v>17.8</v>
      </c>
      <c r="I66" s="27"/>
      <c r="J66" s="13">
        <f>H66*I66</f>
        <v>0</v>
      </c>
    </row>
    <row r="67" spans="1:10" ht="12" customHeight="1">
      <c r="A67" s="13" t="s">
        <v>2641</v>
      </c>
      <c r="B67" s="13" t="s">
        <v>2642</v>
      </c>
      <c r="C67" s="13" t="s">
        <v>201</v>
      </c>
      <c r="D67" s="13" t="s">
        <v>697</v>
      </c>
      <c r="E67" s="13" t="s">
        <v>2636</v>
      </c>
      <c r="F67" s="13" t="s">
        <v>2643</v>
      </c>
      <c r="G67" s="20" t="str">
        <f>HYPERLINK("https://semena-nn.ru/catalog/16/1282999","Фото")</f>
        <v>Фото</v>
      </c>
      <c r="H67" s="18">
        <v>7.2</v>
      </c>
      <c r="I67" s="27"/>
      <c r="J67" s="13">
        <f>H67*I67</f>
        <v>0</v>
      </c>
    </row>
    <row r="68" spans="1:10" ht="12" customHeight="1">
      <c r="A68" s="13" t="s">
        <v>3480</v>
      </c>
      <c r="B68" s="13" t="s">
        <v>3481</v>
      </c>
      <c r="C68" s="13" t="s">
        <v>201</v>
      </c>
      <c r="D68" s="13" t="s">
        <v>3475</v>
      </c>
      <c r="E68" s="13" t="s">
        <v>93</v>
      </c>
      <c r="F68" s="13" t="s">
        <v>3482</v>
      </c>
      <c r="G68" s="20" t="str">
        <f>HYPERLINK("https://semena-nn.ru/catalog/16/888000000984","Фото")</f>
        <v>Фото</v>
      </c>
      <c r="H68" s="18">
        <v>19.3</v>
      </c>
      <c r="I68" s="27"/>
      <c r="J68" s="13">
        <f>H68*I68</f>
        <v>0</v>
      </c>
    </row>
    <row r="69" spans="1:10" ht="12" customHeight="1">
      <c r="A69" s="13" t="s">
        <v>8719</v>
      </c>
      <c r="B69" s="13" t="s">
        <v>8720</v>
      </c>
      <c r="C69" s="13" t="s">
        <v>201</v>
      </c>
      <c r="D69" s="13" t="s">
        <v>8717</v>
      </c>
      <c r="E69" s="13" t="s">
        <v>93</v>
      </c>
      <c r="F69" s="13" t="s">
        <v>8721</v>
      </c>
      <c r="G69" s="20" t="str">
        <f>HYPERLINK("https://semena-nn.ru/catalog/16/999000012522","Фото")</f>
        <v>Фото</v>
      </c>
      <c r="H69" s="15">
        <v>19</v>
      </c>
      <c r="I69" s="27"/>
      <c r="J69" s="13">
        <f>H69*I69</f>
        <v>0</v>
      </c>
    </row>
    <row r="70" spans="1:10" ht="12" customHeight="1">
      <c r="A70" s="13" t="s">
        <v>203</v>
      </c>
      <c r="B70" s="13" t="s">
        <v>204</v>
      </c>
      <c r="C70" s="13" t="s">
        <v>201</v>
      </c>
      <c r="D70" s="13" t="s">
        <v>28</v>
      </c>
      <c r="E70" s="13" t="s">
        <v>93</v>
      </c>
      <c r="F70" s="13" t="s">
        <v>205</v>
      </c>
      <c r="G70" s="20" t="str">
        <f>HYPERLINK("https://semena-nn.ru/catalog/16/888000000558","Фото")</f>
        <v>Фото</v>
      </c>
      <c r="H70" s="19">
        <v>24.05</v>
      </c>
      <c r="I70" s="27"/>
      <c r="J70" s="13">
        <f>H70*I70</f>
        <v>0</v>
      </c>
    </row>
    <row r="71" spans="1:10" ht="12" customHeight="1">
      <c r="A71" s="13" t="s">
        <v>715</v>
      </c>
      <c r="B71" s="13" t="s">
        <v>716</v>
      </c>
      <c r="C71" s="13" t="s">
        <v>201</v>
      </c>
      <c r="D71" s="13" t="s">
        <v>697</v>
      </c>
      <c r="E71" s="13" t="s">
        <v>93</v>
      </c>
      <c r="F71" s="13" t="s">
        <v>717</v>
      </c>
      <c r="G71" s="20" t="str">
        <f>HYPERLINK("https://semena-nn.ru/catalog/16/999000010984","Фото")</f>
        <v>Фото</v>
      </c>
      <c r="H71" s="18">
        <v>17.8</v>
      </c>
      <c r="I71" s="27"/>
      <c r="J71" s="13">
        <f>H71*I71</f>
        <v>0</v>
      </c>
    </row>
    <row r="72" spans="1:10" ht="12" customHeight="1">
      <c r="A72" s="13" t="s">
        <v>718</v>
      </c>
      <c r="B72" s="13" t="s">
        <v>719</v>
      </c>
      <c r="C72" s="13" t="s">
        <v>201</v>
      </c>
      <c r="D72" s="13" t="s">
        <v>697</v>
      </c>
      <c r="E72" s="13" t="s">
        <v>93</v>
      </c>
      <c r="F72" s="13" t="s">
        <v>720</v>
      </c>
      <c r="G72" s="20" t="str">
        <f>HYPERLINK("https://semena-nn.ru/catalog/16/999000009129","Фото")</f>
        <v>Фото</v>
      </c>
      <c r="H72" s="19">
        <v>23.55</v>
      </c>
      <c r="I72" s="27"/>
      <c r="J72" s="13">
        <f>H72*I72</f>
        <v>0</v>
      </c>
    </row>
    <row r="73" spans="1:10" ht="12" customHeight="1">
      <c r="A73" s="13" t="s">
        <v>8722</v>
      </c>
      <c r="B73" s="13" t="s">
        <v>8723</v>
      </c>
      <c r="C73" s="13" t="s">
        <v>201</v>
      </c>
      <c r="D73" s="13" t="s">
        <v>8717</v>
      </c>
      <c r="E73" s="13" t="s">
        <v>93</v>
      </c>
      <c r="F73" s="13" t="s">
        <v>8724</v>
      </c>
      <c r="G73" s="20" t="str">
        <f>HYPERLINK("https://semena-nn.ru/catalog/16/999000012523","Фото")</f>
        <v>Фото</v>
      </c>
      <c r="H73" s="15">
        <v>19</v>
      </c>
      <c r="I73" s="27"/>
      <c r="J73" s="13">
        <f>H73*I73</f>
        <v>0</v>
      </c>
    </row>
    <row r="74" spans="1:10" ht="12" customHeight="1">
      <c r="A74" s="13" t="s">
        <v>721</v>
      </c>
      <c r="B74" s="13" t="s">
        <v>722</v>
      </c>
      <c r="C74" s="13" t="s">
        <v>201</v>
      </c>
      <c r="D74" s="13" t="s">
        <v>697</v>
      </c>
      <c r="E74" s="13" t="s">
        <v>93</v>
      </c>
      <c r="F74" s="13" t="s">
        <v>723</v>
      </c>
      <c r="G74" s="20" t="str">
        <f>HYPERLINK("https://semena-nn.ru/catalog/16/999000009130","Фото")</f>
        <v>Фото</v>
      </c>
      <c r="H74" s="19">
        <v>20.55</v>
      </c>
      <c r="I74" s="27"/>
      <c r="J74" s="13">
        <f>H74*I74</f>
        <v>0</v>
      </c>
    </row>
    <row r="75" spans="1:10" ht="12" customHeight="1">
      <c r="A75" s="13" t="s">
        <v>724</v>
      </c>
      <c r="B75" s="13" t="s">
        <v>725</v>
      </c>
      <c r="C75" s="13" t="s">
        <v>201</v>
      </c>
      <c r="D75" s="13" t="s">
        <v>697</v>
      </c>
      <c r="E75" s="13" t="s">
        <v>93</v>
      </c>
      <c r="F75" s="13" t="s">
        <v>726</v>
      </c>
      <c r="G75" s="20" t="str">
        <f>HYPERLINK("https://semena-nn.ru/catalog/16/999000009132","Фото")</f>
        <v>Фото</v>
      </c>
      <c r="H75" s="18">
        <v>18.7</v>
      </c>
      <c r="I75" s="27"/>
      <c r="J75" s="13">
        <f>H75*I75</f>
        <v>0</v>
      </c>
    </row>
    <row r="76" spans="1:10" ht="12" customHeight="1">
      <c r="A76" s="13" t="s">
        <v>3068</v>
      </c>
      <c r="B76" s="13" t="s">
        <v>3069</v>
      </c>
      <c r="C76" s="13" t="s">
        <v>201</v>
      </c>
      <c r="D76" s="13" t="s">
        <v>697</v>
      </c>
      <c r="E76" s="13" t="s">
        <v>3064</v>
      </c>
      <c r="F76" s="13" t="s">
        <v>3070</v>
      </c>
      <c r="G76" s="20" t="str">
        <f>HYPERLINK("http://www.semena-nn.ru/catalog/16/1287452","Фото")</f>
        <v>Фото</v>
      </c>
      <c r="H76" s="19">
        <v>12.65</v>
      </c>
      <c r="I76" s="27"/>
      <c r="J76" s="13">
        <f>H76*I76</f>
        <v>0</v>
      </c>
    </row>
    <row r="77" spans="1:10" ht="12" customHeight="1">
      <c r="A77" s="13" t="s">
        <v>3483</v>
      </c>
      <c r="B77" s="13" t="s">
        <v>3484</v>
      </c>
      <c r="C77" s="13" t="s">
        <v>201</v>
      </c>
      <c r="D77" s="13" t="s">
        <v>3475</v>
      </c>
      <c r="E77" s="13" t="s">
        <v>93</v>
      </c>
      <c r="F77" s="13" t="s">
        <v>3485</v>
      </c>
      <c r="G77" s="20" t="str">
        <f>HYPERLINK("http://www.semena-nn.ru/catalog/16/1299193","Фото")</f>
        <v>Фото</v>
      </c>
      <c r="H77" s="18">
        <v>19.3</v>
      </c>
      <c r="I77" s="27"/>
      <c r="J77" s="13">
        <f>H77*I77</f>
        <v>0</v>
      </c>
    </row>
    <row r="78" spans="1:10" ht="12" customHeight="1">
      <c r="A78" s="13" t="s">
        <v>3071</v>
      </c>
      <c r="B78" s="13" t="s">
        <v>3072</v>
      </c>
      <c r="C78" s="13" t="s">
        <v>201</v>
      </c>
      <c r="D78" s="13" t="s">
        <v>697</v>
      </c>
      <c r="E78" s="13" t="s">
        <v>3064</v>
      </c>
      <c r="F78" s="13" t="s">
        <v>3073</v>
      </c>
      <c r="G78" s="20" t="str">
        <f>HYPERLINK("http://www.semena-nn.ru/catalog/16/1314278","Фото")</f>
        <v>Фото</v>
      </c>
      <c r="H78" s="19">
        <v>12.65</v>
      </c>
      <c r="I78" s="27"/>
      <c r="J78" s="13">
        <f>H78*I78</f>
        <v>0</v>
      </c>
    </row>
    <row r="79" spans="1:10" ht="12" customHeight="1">
      <c r="A79" s="13" t="s">
        <v>2644</v>
      </c>
      <c r="B79" s="13" t="s">
        <v>2645</v>
      </c>
      <c r="C79" s="13" t="s">
        <v>201</v>
      </c>
      <c r="D79" s="13" t="s">
        <v>697</v>
      </c>
      <c r="E79" s="13" t="s">
        <v>2636</v>
      </c>
      <c r="F79" s="13" t="s">
        <v>2646</v>
      </c>
      <c r="G79" s="20" t="str">
        <f>HYPERLINK("http://semena-nn.ru/catalog/16/80597","Фото")</f>
        <v>Фото</v>
      </c>
      <c r="H79" s="18">
        <v>9.4</v>
      </c>
      <c r="I79" s="27"/>
      <c r="J79" s="13">
        <f>H79*I79</f>
        <v>0</v>
      </c>
    </row>
    <row r="80" spans="1:10" ht="12" customHeight="1">
      <c r="A80" s="13" t="s">
        <v>3486</v>
      </c>
      <c r="B80" s="13" t="s">
        <v>3487</v>
      </c>
      <c r="C80" s="13" t="s">
        <v>201</v>
      </c>
      <c r="D80" s="13" t="s">
        <v>3475</v>
      </c>
      <c r="E80" s="13" t="s">
        <v>93</v>
      </c>
      <c r="F80" s="13" t="s">
        <v>3488</v>
      </c>
      <c r="G80" s="20" t="str">
        <f>HYPERLINK("https://semena-nn.ru/catalog/16/999000005206","Фото")</f>
        <v>Фото</v>
      </c>
      <c r="H80" s="18">
        <v>18.7</v>
      </c>
      <c r="I80" s="27"/>
      <c r="J80" s="13">
        <f>H80*I80</f>
        <v>0</v>
      </c>
    </row>
    <row r="81" spans="1:10" ht="12" customHeight="1">
      <c r="A81" s="13" t="s">
        <v>5007</v>
      </c>
      <c r="B81" s="13" t="s">
        <v>5008</v>
      </c>
      <c r="C81" s="13" t="s">
        <v>201</v>
      </c>
      <c r="D81" s="13" t="s">
        <v>3475</v>
      </c>
      <c r="E81" s="13" t="s">
        <v>5009</v>
      </c>
      <c r="F81" s="13" t="s">
        <v>2646</v>
      </c>
      <c r="G81" s="20" t="str">
        <f>HYPERLINK("https://semena-nn.ru/catalog/16/1310473","Фото")</f>
        <v>Фото</v>
      </c>
      <c r="H81" s="19">
        <v>12.61</v>
      </c>
      <c r="I81" s="27"/>
      <c r="J81" s="13">
        <f>H81*I81</f>
        <v>0</v>
      </c>
    </row>
    <row r="82" spans="1:10" ht="12" customHeight="1">
      <c r="A82" s="13" t="s">
        <v>727</v>
      </c>
      <c r="B82" s="13" t="s">
        <v>728</v>
      </c>
      <c r="C82" s="13" t="s">
        <v>201</v>
      </c>
      <c r="D82" s="13" t="s">
        <v>697</v>
      </c>
      <c r="E82" s="13" t="s">
        <v>93</v>
      </c>
      <c r="F82" s="13" t="s">
        <v>729</v>
      </c>
      <c r="G82" s="20" t="str">
        <f>HYPERLINK("http://semena-nn.ru/catalog/16/1290928","Фото")</f>
        <v>Фото</v>
      </c>
      <c r="H82" s="18">
        <v>17.8</v>
      </c>
      <c r="I82" s="27"/>
      <c r="J82" s="13">
        <f>H82*I82</f>
        <v>0</v>
      </c>
    </row>
    <row r="83" spans="1:10" ht="12" customHeight="1">
      <c r="A83" s="13" t="s">
        <v>730</v>
      </c>
      <c r="B83" s="13" t="s">
        <v>731</v>
      </c>
      <c r="C83" s="13" t="s">
        <v>201</v>
      </c>
      <c r="D83" s="13" t="s">
        <v>697</v>
      </c>
      <c r="E83" s="13" t="s">
        <v>93</v>
      </c>
      <c r="F83" s="13" t="s">
        <v>732</v>
      </c>
      <c r="G83" s="20" t="str">
        <f>HYPERLINK("https://semena-nn.ru/catalog/16/999000019822","Фото")</f>
        <v>Фото</v>
      </c>
      <c r="H83" s="18">
        <v>17.8</v>
      </c>
      <c r="I83" s="27"/>
      <c r="J83" s="13">
        <f>H83*I83</f>
        <v>0</v>
      </c>
    </row>
    <row r="84" spans="1:10" ht="12" customHeight="1">
      <c r="A84" s="13" t="s">
        <v>8725</v>
      </c>
      <c r="B84" s="13" t="s">
        <v>8726</v>
      </c>
      <c r="C84" s="13" t="s">
        <v>201</v>
      </c>
      <c r="D84" s="13" t="s">
        <v>8717</v>
      </c>
      <c r="E84" s="13" t="s">
        <v>93</v>
      </c>
      <c r="F84" s="13" t="s">
        <v>8727</v>
      </c>
      <c r="G84" s="20" t="str">
        <f>HYPERLINK("https://semena-nn.ru/catalog/16/999000020165","Фото")</f>
        <v>Фото</v>
      </c>
      <c r="H84" s="18">
        <v>28.3</v>
      </c>
      <c r="I84" s="27"/>
      <c r="J84" s="13">
        <f>H84*I84</f>
        <v>0</v>
      </c>
    </row>
    <row r="85" spans="1:10" ht="12" customHeight="1">
      <c r="A85" s="13" t="s">
        <v>7150</v>
      </c>
      <c r="B85" s="13" t="s">
        <v>7151</v>
      </c>
      <c r="C85" s="13" t="s">
        <v>735</v>
      </c>
      <c r="D85" s="13" t="s">
        <v>7148</v>
      </c>
      <c r="E85" s="13" t="s">
        <v>93</v>
      </c>
      <c r="F85" s="13" t="s">
        <v>7152</v>
      </c>
      <c r="G85" s="20" t="str">
        <f>HYPERLINK("http://www.semena-nn.ru/catalog/17/1313683","Фото")</f>
        <v>Фото</v>
      </c>
      <c r="H85" s="18">
        <v>56.6</v>
      </c>
      <c r="I85" s="27"/>
      <c r="J85" s="13">
        <f>H85*I85</f>
        <v>0</v>
      </c>
    </row>
    <row r="86" spans="1:10" ht="12" customHeight="1">
      <c r="A86" s="13" t="s">
        <v>3489</v>
      </c>
      <c r="B86" s="13" t="s">
        <v>3490</v>
      </c>
      <c r="C86" s="13" t="s">
        <v>735</v>
      </c>
      <c r="D86" s="13" t="s">
        <v>3475</v>
      </c>
      <c r="E86" s="13" t="s">
        <v>93</v>
      </c>
      <c r="F86" s="13" t="s">
        <v>3491</v>
      </c>
      <c r="G86" s="20" t="str">
        <f>HYPERLINK("http://semena-nn.ru/catalog/17/98882","Фото")</f>
        <v>Фото</v>
      </c>
      <c r="H86" s="18">
        <v>37.6</v>
      </c>
      <c r="I86" s="27"/>
      <c r="J86" s="13">
        <f>H86*I86</f>
        <v>0</v>
      </c>
    </row>
    <row r="87" spans="1:10" ht="12" customHeight="1">
      <c r="A87" s="13" t="s">
        <v>7733</v>
      </c>
      <c r="B87" s="13" t="s">
        <v>7734</v>
      </c>
      <c r="C87" s="13" t="s">
        <v>735</v>
      </c>
      <c r="D87" s="13" t="s">
        <v>7728</v>
      </c>
      <c r="E87" s="13" t="s">
        <v>93</v>
      </c>
      <c r="F87" s="13" t="s">
        <v>7735</v>
      </c>
      <c r="G87" s="20" t="str">
        <f>HYPERLINK("http://semena-nn.ru/catalog/17/92938","Фото")</f>
        <v>Фото</v>
      </c>
      <c r="H87" s="19">
        <v>22.15</v>
      </c>
      <c r="I87" s="27"/>
      <c r="J87" s="13">
        <f>H87*I87</f>
        <v>0</v>
      </c>
    </row>
    <row r="88" spans="1:10" ht="12" customHeight="1">
      <c r="A88" s="13" t="s">
        <v>733</v>
      </c>
      <c r="B88" s="13" t="s">
        <v>734</v>
      </c>
      <c r="C88" s="13" t="s">
        <v>735</v>
      </c>
      <c r="D88" s="13" t="s">
        <v>697</v>
      </c>
      <c r="E88" s="13" t="s">
        <v>93</v>
      </c>
      <c r="F88" s="13" t="s">
        <v>736</v>
      </c>
      <c r="G88" s="20" t="str">
        <f>HYPERLINK("https://semena-nn.ru/catalog/17/1307744","Фото")</f>
        <v>Фото</v>
      </c>
      <c r="H88" s="18">
        <v>17.8</v>
      </c>
      <c r="I88" s="27"/>
      <c r="J88" s="13">
        <f>H88*I88</f>
        <v>0</v>
      </c>
    </row>
    <row r="89" spans="1:10" ht="12" customHeight="1">
      <c r="A89" s="13" t="s">
        <v>5842</v>
      </c>
      <c r="B89" s="13" t="s">
        <v>5843</v>
      </c>
      <c r="C89" s="13" t="s">
        <v>735</v>
      </c>
      <c r="D89" s="13" t="s">
        <v>5834</v>
      </c>
      <c r="E89" s="13" t="s">
        <v>93</v>
      </c>
      <c r="F89" s="13" t="s">
        <v>5844</v>
      </c>
      <c r="G89" s="20" t="str">
        <f>HYPERLINK("https://semena-nn.ru/catalog/17/888000001502","Фото")</f>
        <v>Фото</v>
      </c>
      <c r="H89" s="19">
        <v>26.78</v>
      </c>
      <c r="I89" s="27"/>
      <c r="J89" s="13">
        <f>H89*I89</f>
        <v>0</v>
      </c>
    </row>
    <row r="90" spans="1:10" ht="12" customHeight="1">
      <c r="A90" s="13" t="s">
        <v>6405</v>
      </c>
      <c r="B90" s="13" t="s">
        <v>6406</v>
      </c>
      <c r="C90" s="13" t="s">
        <v>735</v>
      </c>
      <c r="D90" s="13" t="s">
        <v>6407</v>
      </c>
      <c r="E90" s="13" t="s">
        <v>93</v>
      </c>
      <c r="F90" s="13" t="s">
        <v>6408</v>
      </c>
      <c r="G90" s="20" t="str">
        <f>HYPERLINK("http://semena-nn.ru/catalog/17/1314111","Фото")</f>
        <v>Фото</v>
      </c>
      <c r="H90" s="19">
        <v>32.54</v>
      </c>
      <c r="I90" s="27"/>
      <c r="J90" s="13">
        <f>H90*I90</f>
        <v>0</v>
      </c>
    </row>
    <row r="91" spans="1:10" ht="12" customHeight="1">
      <c r="A91" s="13" t="s">
        <v>6409</v>
      </c>
      <c r="B91" s="13" t="s">
        <v>6410</v>
      </c>
      <c r="C91" s="13" t="s">
        <v>735</v>
      </c>
      <c r="D91" s="13" t="s">
        <v>6407</v>
      </c>
      <c r="E91" s="13" t="s">
        <v>93</v>
      </c>
      <c r="F91" s="13" t="s">
        <v>6411</v>
      </c>
      <c r="G91" s="20" t="str">
        <f>HYPERLINK("https://semena-nn.ru/catalog/17/999000013357","Фото")</f>
        <v>Фото</v>
      </c>
      <c r="H91" s="19">
        <v>32.54</v>
      </c>
      <c r="I91" s="27"/>
      <c r="J91" s="13">
        <f>H91*I91</f>
        <v>0</v>
      </c>
    </row>
    <row r="92" spans="1:10" ht="12" customHeight="1">
      <c r="A92" s="13" t="s">
        <v>5845</v>
      </c>
      <c r="B92" s="13" t="s">
        <v>5846</v>
      </c>
      <c r="C92" s="13" t="s">
        <v>735</v>
      </c>
      <c r="D92" s="13" t="s">
        <v>5834</v>
      </c>
      <c r="E92" s="13" t="s">
        <v>93</v>
      </c>
      <c r="F92" s="13" t="s">
        <v>5847</v>
      </c>
      <c r="G92" s="20" t="str">
        <f>HYPERLINK("https://semena-nn.ru/catalog/17/888000001504","Фото")</f>
        <v>Фото</v>
      </c>
      <c r="H92" s="19">
        <v>13.65</v>
      </c>
      <c r="I92" s="27"/>
      <c r="J92" s="13">
        <f>H92*I92</f>
        <v>0</v>
      </c>
    </row>
    <row r="93" spans="1:10" ht="12" customHeight="1">
      <c r="A93" s="13" t="s">
        <v>5848</v>
      </c>
      <c r="B93" s="13" t="s">
        <v>5849</v>
      </c>
      <c r="C93" s="13" t="s">
        <v>735</v>
      </c>
      <c r="D93" s="13" t="s">
        <v>5834</v>
      </c>
      <c r="E93" s="13" t="s">
        <v>93</v>
      </c>
      <c r="F93" s="13" t="s">
        <v>5850</v>
      </c>
      <c r="G93" s="20" t="str">
        <f>HYPERLINK("https://semena-nn.ru/catalog/17/888000001505","Фото")</f>
        <v>Фото</v>
      </c>
      <c r="H93" s="18">
        <v>35.700000000000003</v>
      </c>
      <c r="I93" s="27"/>
      <c r="J93" s="13">
        <f>H93*I93</f>
        <v>0</v>
      </c>
    </row>
    <row r="94" spans="1:10" ht="12" customHeight="1">
      <c r="A94" s="13" t="s">
        <v>3492</v>
      </c>
      <c r="B94" s="13" t="s">
        <v>3493</v>
      </c>
      <c r="C94" s="13" t="s">
        <v>735</v>
      </c>
      <c r="D94" s="13" t="s">
        <v>3475</v>
      </c>
      <c r="E94" s="13" t="s">
        <v>93</v>
      </c>
      <c r="F94" s="13" t="s">
        <v>3494</v>
      </c>
      <c r="G94" s="20" t="str">
        <f>HYPERLINK("http://semena-nn.ru/catalog/17/1309995","Фото")</f>
        <v>Фото</v>
      </c>
      <c r="H94" s="18">
        <v>29.4</v>
      </c>
      <c r="I94" s="27"/>
      <c r="J94" s="13">
        <f>H94*I94</f>
        <v>0</v>
      </c>
    </row>
    <row r="95" spans="1:10" ht="12" customHeight="1">
      <c r="A95" s="13" t="s">
        <v>8728</v>
      </c>
      <c r="B95" s="13" t="s">
        <v>8729</v>
      </c>
      <c r="C95" s="13" t="s">
        <v>735</v>
      </c>
      <c r="D95" s="13" t="s">
        <v>8717</v>
      </c>
      <c r="E95" s="13" t="s">
        <v>93</v>
      </c>
      <c r="F95" s="13" t="s">
        <v>8730</v>
      </c>
      <c r="G95" s="20" t="str">
        <f>HYPERLINK("https://semena-nn.ru/catalog/17/999000013073","Фото")</f>
        <v>Фото</v>
      </c>
      <c r="H95" s="15">
        <v>19</v>
      </c>
      <c r="I95" s="27"/>
      <c r="J95" s="13">
        <f>H95*I95</f>
        <v>0</v>
      </c>
    </row>
    <row r="96" spans="1:10" ht="12" customHeight="1">
      <c r="A96" s="13" t="s">
        <v>7736</v>
      </c>
      <c r="B96" s="13" t="s">
        <v>7737</v>
      </c>
      <c r="C96" s="13" t="s">
        <v>735</v>
      </c>
      <c r="D96" s="13" t="s">
        <v>7728</v>
      </c>
      <c r="E96" s="13" t="s">
        <v>93</v>
      </c>
      <c r="F96" s="13" t="s">
        <v>7738</v>
      </c>
      <c r="G96" s="20" t="str">
        <f>HYPERLINK("http://semena-nn.ru/catalog/2/17/big_1287651.JPG","Фото")</f>
        <v>Фото</v>
      </c>
      <c r="H96" s="18">
        <v>24.5</v>
      </c>
      <c r="I96" s="27"/>
      <c r="J96" s="13">
        <f>H96*I96</f>
        <v>0</v>
      </c>
    </row>
    <row r="97" spans="1:10" ht="12" customHeight="1">
      <c r="A97" s="13" t="s">
        <v>6935</v>
      </c>
      <c r="B97" s="13" t="s">
        <v>6936</v>
      </c>
      <c r="C97" s="13" t="s">
        <v>735</v>
      </c>
      <c r="D97" s="13" t="s">
        <v>6927</v>
      </c>
      <c r="E97" s="13" t="s">
        <v>93</v>
      </c>
      <c r="F97" s="13" t="s">
        <v>6937</v>
      </c>
      <c r="G97" s="20" t="str">
        <f>HYPERLINK("https://semena-nn.ru/catalog/17/999000011649","Фото")</f>
        <v>Фото</v>
      </c>
      <c r="H97" s="18">
        <v>28.5</v>
      </c>
      <c r="I97" s="27"/>
      <c r="J97" s="13">
        <f>H97*I97</f>
        <v>0</v>
      </c>
    </row>
    <row r="98" spans="1:10" ht="12" customHeight="1">
      <c r="A98" s="13" t="s">
        <v>737</v>
      </c>
      <c r="B98" s="13" t="s">
        <v>738</v>
      </c>
      <c r="C98" s="13" t="s">
        <v>735</v>
      </c>
      <c r="D98" s="13" t="s">
        <v>697</v>
      </c>
      <c r="E98" s="13" t="s">
        <v>93</v>
      </c>
      <c r="F98" s="13" t="s">
        <v>739</v>
      </c>
      <c r="G98" s="20" t="str">
        <f>HYPERLINK("http://semena-nn.ru/catalog/2/17/big_1307745.jpg","Фото")</f>
        <v>Фото</v>
      </c>
      <c r="H98" s="18">
        <v>17.8</v>
      </c>
      <c r="I98" s="27"/>
      <c r="J98" s="13">
        <f>H98*I98</f>
        <v>0</v>
      </c>
    </row>
    <row r="99" spans="1:10" ht="12" customHeight="1">
      <c r="A99" s="13" t="s">
        <v>740</v>
      </c>
      <c r="B99" s="13" t="s">
        <v>741</v>
      </c>
      <c r="C99" s="13" t="s">
        <v>735</v>
      </c>
      <c r="D99" s="13" t="s">
        <v>697</v>
      </c>
      <c r="E99" s="13" t="s">
        <v>93</v>
      </c>
      <c r="F99" s="13" t="s">
        <v>742</v>
      </c>
      <c r="G99" s="20" t="str">
        <f>HYPERLINK("https://semena-nn.ru/catalog/17/999000012825","Фото")</f>
        <v>Фото</v>
      </c>
      <c r="H99" s="19">
        <v>23.05</v>
      </c>
      <c r="I99" s="27"/>
      <c r="J99" s="13">
        <f>H99*I99</f>
        <v>0</v>
      </c>
    </row>
    <row r="100" spans="1:10" ht="12" customHeight="1">
      <c r="A100" s="13" t="s">
        <v>3495</v>
      </c>
      <c r="B100" s="13" t="s">
        <v>3496</v>
      </c>
      <c r="C100" s="13" t="s">
        <v>735</v>
      </c>
      <c r="D100" s="13" t="s">
        <v>3475</v>
      </c>
      <c r="E100" s="13" t="s">
        <v>93</v>
      </c>
      <c r="F100" s="13" t="s">
        <v>3497</v>
      </c>
      <c r="G100" s="20" t="str">
        <f>HYPERLINK("https://semena-nn.ru/catalog/17/999000009348","Фото")</f>
        <v>Фото</v>
      </c>
      <c r="H100" s="19">
        <v>38.549999999999997</v>
      </c>
      <c r="I100" s="27"/>
      <c r="J100" s="13">
        <f>H100*I100</f>
        <v>0</v>
      </c>
    </row>
    <row r="101" spans="1:10" ht="12" customHeight="1">
      <c r="A101" s="13" t="s">
        <v>5851</v>
      </c>
      <c r="B101" s="13" t="s">
        <v>5852</v>
      </c>
      <c r="C101" s="13" t="s">
        <v>735</v>
      </c>
      <c r="D101" s="13" t="s">
        <v>5834</v>
      </c>
      <c r="E101" s="13" t="s">
        <v>93</v>
      </c>
      <c r="F101" s="13" t="s">
        <v>5853</v>
      </c>
      <c r="G101" s="20" t="str">
        <f>HYPERLINK("https://semena-nn.ru/catalog/17/888000001506","Фото")</f>
        <v>Фото</v>
      </c>
      <c r="H101" s="19">
        <v>60.38</v>
      </c>
      <c r="I101" s="27"/>
      <c r="J101" s="13">
        <f>H101*I101</f>
        <v>0</v>
      </c>
    </row>
    <row r="102" spans="1:10" ht="12" customHeight="1">
      <c r="A102" s="13" t="s">
        <v>3498</v>
      </c>
      <c r="B102" s="13" t="s">
        <v>3499</v>
      </c>
      <c r="C102" s="13" t="s">
        <v>735</v>
      </c>
      <c r="D102" s="13" t="s">
        <v>3475</v>
      </c>
      <c r="E102" s="13" t="s">
        <v>93</v>
      </c>
      <c r="F102" s="13" t="s">
        <v>3500</v>
      </c>
      <c r="G102" s="20" t="str">
        <f>HYPERLINK("http://semena-nn.ru/catalog/17/999000003581","Фото")</f>
        <v>Фото</v>
      </c>
      <c r="H102" s="19">
        <v>37.65</v>
      </c>
      <c r="I102" s="27"/>
      <c r="J102" s="13">
        <f>H102*I102</f>
        <v>0</v>
      </c>
    </row>
    <row r="103" spans="1:10" ht="12" customHeight="1">
      <c r="A103" s="13" t="s">
        <v>7153</v>
      </c>
      <c r="B103" s="13" t="s">
        <v>7154</v>
      </c>
      <c r="C103" s="13" t="s">
        <v>735</v>
      </c>
      <c r="D103" s="13" t="s">
        <v>7148</v>
      </c>
      <c r="E103" s="13" t="s">
        <v>93</v>
      </c>
      <c r="F103" s="13" t="s">
        <v>7155</v>
      </c>
      <c r="G103" s="20" t="str">
        <f>HYPERLINK("http://www.semena-nn.ru/catalog/17/1314160","Фото")</f>
        <v>Фото</v>
      </c>
      <c r="H103" s="19">
        <v>70.75</v>
      </c>
      <c r="I103" s="27"/>
      <c r="J103" s="13">
        <f>H103*I103</f>
        <v>0</v>
      </c>
    </row>
    <row r="104" spans="1:10" ht="12" customHeight="1">
      <c r="A104" s="13" t="s">
        <v>3074</v>
      </c>
      <c r="B104" s="13" t="s">
        <v>3075</v>
      </c>
      <c r="C104" s="13" t="s">
        <v>735</v>
      </c>
      <c r="D104" s="13" t="s">
        <v>697</v>
      </c>
      <c r="E104" s="13" t="s">
        <v>3064</v>
      </c>
      <c r="F104" s="13" t="s">
        <v>3076</v>
      </c>
      <c r="G104" s="20" t="str">
        <f>HYPERLINK("https://semena-nn.ru/catalog/17/999000006256","Фото")</f>
        <v>Фото</v>
      </c>
      <c r="H104" s="19">
        <v>12.05</v>
      </c>
      <c r="I104" s="27"/>
      <c r="J104" s="13">
        <f>H104*I104</f>
        <v>0</v>
      </c>
    </row>
    <row r="105" spans="1:10" ht="12" customHeight="1">
      <c r="A105" s="13" t="s">
        <v>5854</v>
      </c>
      <c r="B105" s="13" t="s">
        <v>5855</v>
      </c>
      <c r="C105" s="13" t="s">
        <v>735</v>
      </c>
      <c r="D105" s="13" t="s">
        <v>5834</v>
      </c>
      <c r="E105" s="13" t="s">
        <v>93</v>
      </c>
      <c r="F105" s="13" t="s">
        <v>5856</v>
      </c>
      <c r="G105" s="20" t="str">
        <f>HYPERLINK("https://semena-nn.ru/catalog/17/888000001508","Фото")</f>
        <v>Фото</v>
      </c>
      <c r="H105" s="19">
        <v>13.65</v>
      </c>
      <c r="I105" s="27"/>
      <c r="J105" s="13">
        <f>H105*I105</f>
        <v>0</v>
      </c>
    </row>
    <row r="106" spans="1:10" ht="12" customHeight="1">
      <c r="A106" s="13" t="s">
        <v>743</v>
      </c>
      <c r="B106" s="13" t="s">
        <v>744</v>
      </c>
      <c r="C106" s="13" t="s">
        <v>735</v>
      </c>
      <c r="D106" s="13" t="s">
        <v>697</v>
      </c>
      <c r="E106" s="13" t="s">
        <v>93</v>
      </c>
      <c r="F106" s="13" t="s">
        <v>745</v>
      </c>
      <c r="G106" s="20" t="str">
        <f>HYPERLINK("https://semena-nn.ru/catalog/17/1303569","Фото")</f>
        <v>Фото</v>
      </c>
      <c r="H106" s="18">
        <v>17.8</v>
      </c>
      <c r="I106" s="27"/>
      <c r="J106" s="13">
        <f>H106*I106</f>
        <v>0</v>
      </c>
    </row>
    <row r="107" spans="1:10" ht="12" customHeight="1">
      <c r="A107" s="13" t="s">
        <v>5857</v>
      </c>
      <c r="B107" s="13" t="s">
        <v>5858</v>
      </c>
      <c r="C107" s="13" t="s">
        <v>735</v>
      </c>
      <c r="D107" s="13" t="s">
        <v>5834</v>
      </c>
      <c r="E107" s="13" t="s">
        <v>93</v>
      </c>
      <c r="F107" s="13" t="s">
        <v>5859</v>
      </c>
      <c r="G107" s="20" t="str">
        <f>HYPERLINK("https://semena-nn.ru/catalog/17/888000001509","Фото")</f>
        <v>Фото</v>
      </c>
      <c r="H107" s="19">
        <v>14.18</v>
      </c>
      <c r="I107" s="27"/>
      <c r="J107" s="13">
        <f>H107*I107</f>
        <v>0</v>
      </c>
    </row>
    <row r="108" spans="1:10" ht="12" customHeight="1">
      <c r="A108" s="13" t="s">
        <v>5860</v>
      </c>
      <c r="B108" s="13" t="s">
        <v>5861</v>
      </c>
      <c r="C108" s="13" t="s">
        <v>735</v>
      </c>
      <c r="D108" s="13" t="s">
        <v>5834</v>
      </c>
      <c r="E108" s="13" t="s">
        <v>2636</v>
      </c>
      <c r="F108" s="13" t="s">
        <v>5862</v>
      </c>
      <c r="G108" s="20" t="str">
        <f>HYPERLINK("https://semena-nn.ru/catalog/17/888000001510","Фото")</f>
        <v>Фото</v>
      </c>
      <c r="H108" s="18">
        <v>10.4</v>
      </c>
      <c r="I108" s="27"/>
      <c r="J108" s="13">
        <f>H108*I108</f>
        <v>0</v>
      </c>
    </row>
    <row r="109" spans="1:10" ht="12" customHeight="1">
      <c r="A109" s="13" t="s">
        <v>6938</v>
      </c>
      <c r="B109" s="13" t="s">
        <v>6939</v>
      </c>
      <c r="C109" s="13" t="s">
        <v>735</v>
      </c>
      <c r="D109" s="13" t="s">
        <v>6927</v>
      </c>
      <c r="E109" s="13" t="s">
        <v>93</v>
      </c>
      <c r="F109" s="13" t="s">
        <v>6940</v>
      </c>
      <c r="G109" s="20" t="str">
        <f>HYPERLINK("http://semena-nn.ru/catalog/2/17/big_1310392.jpg","Фото")</f>
        <v>Фото</v>
      </c>
      <c r="H109" s="18">
        <v>26.3</v>
      </c>
      <c r="I109" s="27"/>
      <c r="J109" s="13">
        <f>H109*I109</f>
        <v>0</v>
      </c>
    </row>
    <row r="110" spans="1:10" ht="12" customHeight="1">
      <c r="A110" s="13" t="s">
        <v>746</v>
      </c>
      <c r="B110" s="13" t="s">
        <v>747</v>
      </c>
      <c r="C110" s="13" t="s">
        <v>735</v>
      </c>
      <c r="D110" s="13" t="s">
        <v>697</v>
      </c>
      <c r="E110" s="13" t="s">
        <v>93</v>
      </c>
      <c r="F110" s="13" t="s">
        <v>748</v>
      </c>
      <c r="G110" s="20" t="str">
        <f>HYPERLINK("https://semena-nn.ru/catalog/17/999000012827","Фото")</f>
        <v>Фото</v>
      </c>
      <c r="H110" s="19">
        <v>23.05</v>
      </c>
      <c r="I110" s="27"/>
      <c r="J110" s="13">
        <f>H110*I110</f>
        <v>0</v>
      </c>
    </row>
    <row r="111" spans="1:10" ht="12" customHeight="1">
      <c r="A111" s="13" t="s">
        <v>749</v>
      </c>
      <c r="B111" s="13" t="s">
        <v>750</v>
      </c>
      <c r="C111" s="13" t="s">
        <v>735</v>
      </c>
      <c r="D111" s="13" t="s">
        <v>697</v>
      </c>
      <c r="E111" s="13" t="s">
        <v>93</v>
      </c>
      <c r="F111" s="13" t="s">
        <v>751</v>
      </c>
      <c r="G111" s="20" t="str">
        <f>HYPERLINK("http://www.semena-nn.ru/catalog/17/571","Фото")</f>
        <v>Фото</v>
      </c>
      <c r="H111" s="18">
        <v>28.8</v>
      </c>
      <c r="I111" s="27"/>
      <c r="J111" s="13">
        <f>H111*I111</f>
        <v>0</v>
      </c>
    </row>
    <row r="112" spans="1:10" ht="12" customHeight="1">
      <c r="A112" s="13" t="s">
        <v>6941</v>
      </c>
      <c r="B112" s="13" t="s">
        <v>6942</v>
      </c>
      <c r="C112" s="13" t="s">
        <v>735</v>
      </c>
      <c r="D112" s="13" t="s">
        <v>6927</v>
      </c>
      <c r="E112" s="13" t="s">
        <v>93</v>
      </c>
      <c r="F112" s="13" t="s">
        <v>6943</v>
      </c>
      <c r="G112" s="20" t="str">
        <f>HYPERLINK("https://semena-nn.ru/catalog/17/999000013277","Фото")</f>
        <v>Фото</v>
      </c>
      <c r="H112" s="18">
        <v>28.3</v>
      </c>
      <c r="I112" s="27"/>
      <c r="J112" s="13">
        <f>H112*I112</f>
        <v>0</v>
      </c>
    </row>
    <row r="113" spans="1:10" ht="12" customHeight="1">
      <c r="A113" s="13" t="s">
        <v>206</v>
      </c>
      <c r="B113" s="13" t="s">
        <v>207</v>
      </c>
      <c r="C113" s="13" t="s">
        <v>208</v>
      </c>
      <c r="D113" s="13" t="s">
        <v>28</v>
      </c>
      <c r="E113" s="13" t="s">
        <v>93</v>
      </c>
      <c r="F113" s="13" t="s">
        <v>209</v>
      </c>
      <c r="G113" s="20" t="str">
        <f>HYPERLINK("https://semena-nn.ru/catalog/53/999000012959","Фото")</f>
        <v>Фото</v>
      </c>
      <c r="H113" s="19">
        <v>20.48</v>
      </c>
      <c r="I113" s="27"/>
      <c r="J113" s="13">
        <f>H113*I113</f>
        <v>0</v>
      </c>
    </row>
    <row r="114" spans="1:10" ht="12" customHeight="1">
      <c r="A114" s="13" t="s">
        <v>752</v>
      </c>
      <c r="B114" s="13" t="s">
        <v>753</v>
      </c>
      <c r="C114" s="13" t="s">
        <v>208</v>
      </c>
      <c r="D114" s="13" t="s">
        <v>697</v>
      </c>
      <c r="E114" s="13" t="s">
        <v>93</v>
      </c>
      <c r="F114" s="13" t="s">
        <v>754</v>
      </c>
      <c r="G114" s="20" t="str">
        <f>HYPERLINK("https://semena-nn.ru/catalog/53/999000006259","Фото")</f>
        <v>Фото</v>
      </c>
      <c r="H114" s="19">
        <v>22.85</v>
      </c>
      <c r="I114" s="27"/>
      <c r="J114" s="13">
        <f>H114*I114</f>
        <v>0</v>
      </c>
    </row>
    <row r="115" spans="1:10" ht="12" customHeight="1">
      <c r="A115" s="13" t="s">
        <v>755</v>
      </c>
      <c r="B115" s="13" t="s">
        <v>756</v>
      </c>
      <c r="C115" s="13" t="s">
        <v>208</v>
      </c>
      <c r="D115" s="13" t="s">
        <v>697</v>
      </c>
      <c r="E115" s="13" t="s">
        <v>93</v>
      </c>
      <c r="F115" s="13" t="s">
        <v>757</v>
      </c>
      <c r="G115" s="20" t="str">
        <f>HYPERLINK("http://semena-nn.ru/catalog/53/107127","Фото")</f>
        <v>Фото</v>
      </c>
      <c r="H115" s="19">
        <v>20.95</v>
      </c>
      <c r="I115" s="27"/>
      <c r="J115" s="13">
        <f>H115*I115</f>
        <v>0</v>
      </c>
    </row>
    <row r="116" spans="1:10" ht="12" customHeight="1">
      <c r="A116" s="13" t="s">
        <v>3501</v>
      </c>
      <c r="B116" s="13" t="s">
        <v>3502</v>
      </c>
      <c r="C116" s="13" t="s">
        <v>208</v>
      </c>
      <c r="D116" s="13" t="s">
        <v>3475</v>
      </c>
      <c r="E116" s="13" t="s">
        <v>93</v>
      </c>
      <c r="F116" s="13" t="s">
        <v>3503</v>
      </c>
      <c r="G116" s="20" t="str">
        <f>HYPERLINK("https://semena-nn.ru/catalog/53/109974","Фото")</f>
        <v>Фото</v>
      </c>
      <c r="H116" s="18">
        <v>23.5</v>
      </c>
      <c r="I116" s="27"/>
      <c r="J116" s="13">
        <f>H116*I116</f>
        <v>0</v>
      </c>
    </row>
    <row r="117" spans="1:10" ht="12" customHeight="1">
      <c r="A117" s="13" t="s">
        <v>758</v>
      </c>
      <c r="B117" s="13" t="s">
        <v>759</v>
      </c>
      <c r="C117" s="13" t="s">
        <v>760</v>
      </c>
      <c r="D117" s="13" t="s">
        <v>697</v>
      </c>
      <c r="E117" s="13" t="s">
        <v>93</v>
      </c>
      <c r="F117" s="13" t="s">
        <v>761</v>
      </c>
      <c r="G117" s="20" t="str">
        <f>HYPERLINK("http://semena-nn.ru/catalog/18/1315363","Фото")</f>
        <v>Фото</v>
      </c>
      <c r="H117" s="19">
        <v>21.95</v>
      </c>
      <c r="I117" s="27"/>
      <c r="J117" s="13">
        <f>H117*I117</f>
        <v>0</v>
      </c>
    </row>
    <row r="118" spans="1:10" ht="12" customHeight="1">
      <c r="A118" s="13" t="s">
        <v>2647</v>
      </c>
      <c r="B118" s="13" t="s">
        <v>2648</v>
      </c>
      <c r="C118" s="13" t="s">
        <v>760</v>
      </c>
      <c r="D118" s="13" t="s">
        <v>697</v>
      </c>
      <c r="E118" s="13" t="s">
        <v>2636</v>
      </c>
      <c r="F118" s="13" t="s">
        <v>2649</v>
      </c>
      <c r="G118" s="20" t="str">
        <f>HYPERLINK("http://www.semena-nn.ru/catalog/18/1119683","Фото")</f>
        <v>Фото</v>
      </c>
      <c r="H118" s="18">
        <v>18.8</v>
      </c>
      <c r="I118" s="27"/>
      <c r="J118" s="13">
        <f>H118*I118</f>
        <v>0</v>
      </c>
    </row>
    <row r="119" spans="1:10" ht="12" customHeight="1">
      <c r="A119" s="13" t="s">
        <v>762</v>
      </c>
      <c r="B119" s="13" t="s">
        <v>763</v>
      </c>
      <c r="C119" s="13" t="s">
        <v>760</v>
      </c>
      <c r="D119" s="13" t="s">
        <v>697</v>
      </c>
      <c r="E119" s="13" t="s">
        <v>93</v>
      </c>
      <c r="F119" s="13" t="s">
        <v>764</v>
      </c>
      <c r="G119" s="20" t="str">
        <f>HYPERLINK("http://semena-nn.ru/catalog/2/18/big_1309920.jpg","Фото")</f>
        <v>Фото</v>
      </c>
      <c r="H119" s="19">
        <v>34.65</v>
      </c>
      <c r="I119" s="27"/>
      <c r="J119" s="13">
        <f>H119*I119</f>
        <v>0</v>
      </c>
    </row>
    <row r="120" spans="1:10" ht="12" customHeight="1">
      <c r="A120" s="13" t="s">
        <v>3504</v>
      </c>
      <c r="B120" s="13" t="s">
        <v>3505</v>
      </c>
      <c r="C120" s="13" t="s">
        <v>760</v>
      </c>
      <c r="D120" s="13" t="s">
        <v>3475</v>
      </c>
      <c r="E120" s="13" t="s">
        <v>93</v>
      </c>
      <c r="F120" s="13" t="s">
        <v>3506</v>
      </c>
      <c r="G120" s="20" t="str">
        <f>HYPERLINK("http://semena-nn.ru/catalog/2/18/big_1304990.jpg","Фото")</f>
        <v>Фото</v>
      </c>
      <c r="H120" s="18">
        <v>29.4</v>
      </c>
      <c r="I120" s="27"/>
      <c r="J120" s="13">
        <f>H120*I120</f>
        <v>0</v>
      </c>
    </row>
    <row r="121" spans="1:10" ht="12" customHeight="1">
      <c r="A121" s="13" t="s">
        <v>7739</v>
      </c>
      <c r="B121" s="13" t="s">
        <v>7740</v>
      </c>
      <c r="C121" s="13" t="s">
        <v>760</v>
      </c>
      <c r="D121" s="13" t="s">
        <v>7728</v>
      </c>
      <c r="E121" s="13" t="s">
        <v>93</v>
      </c>
      <c r="F121" s="13" t="s">
        <v>7741</v>
      </c>
      <c r="G121" s="20" t="str">
        <f>HYPERLINK("http://semena-nn.ru/catalog/2/18/big_1285681.jpg","Фото")</f>
        <v>Фото</v>
      </c>
      <c r="H121" s="18">
        <v>24.8</v>
      </c>
      <c r="I121" s="27"/>
      <c r="J121" s="13">
        <f>H121*I121</f>
        <v>0</v>
      </c>
    </row>
    <row r="122" spans="1:10" ht="12" customHeight="1">
      <c r="A122" s="13" t="s">
        <v>3507</v>
      </c>
      <c r="B122" s="13" t="s">
        <v>3508</v>
      </c>
      <c r="C122" s="13" t="s">
        <v>760</v>
      </c>
      <c r="D122" s="13" t="s">
        <v>3475</v>
      </c>
      <c r="E122" s="13" t="s">
        <v>93</v>
      </c>
      <c r="F122" s="13" t="s">
        <v>3509</v>
      </c>
      <c r="G122" s="20" t="str">
        <f>HYPERLINK("http://semena-nn.ru/catalog/18/1299566","Фото")</f>
        <v>Фото</v>
      </c>
      <c r="H122" s="19">
        <v>39.65</v>
      </c>
      <c r="I122" s="27"/>
      <c r="J122" s="13">
        <f>H122*I122</f>
        <v>0</v>
      </c>
    </row>
    <row r="123" spans="1:10" ht="12" customHeight="1">
      <c r="A123" s="13" t="s">
        <v>8731</v>
      </c>
      <c r="B123" s="13" t="s">
        <v>8732</v>
      </c>
      <c r="C123" s="13" t="s">
        <v>760</v>
      </c>
      <c r="D123" s="13" t="s">
        <v>8717</v>
      </c>
      <c r="E123" s="13" t="s">
        <v>93</v>
      </c>
      <c r="F123" s="13" t="s">
        <v>8733</v>
      </c>
      <c r="G123" s="20" t="str">
        <f>HYPERLINK("https://semena-nn.ru/catalog/18/999000010089","Фото")</f>
        <v>Фото</v>
      </c>
      <c r="H123" s="18">
        <v>28.3</v>
      </c>
      <c r="I123" s="27"/>
      <c r="J123" s="13">
        <f>H123*I123</f>
        <v>0</v>
      </c>
    </row>
    <row r="124" spans="1:10" ht="12" customHeight="1">
      <c r="A124" s="13" t="s">
        <v>765</v>
      </c>
      <c r="B124" s="13" t="s">
        <v>766</v>
      </c>
      <c r="C124" s="13" t="s">
        <v>760</v>
      </c>
      <c r="D124" s="13" t="s">
        <v>697</v>
      </c>
      <c r="E124" s="13" t="s">
        <v>93</v>
      </c>
      <c r="F124" s="13" t="s">
        <v>767</v>
      </c>
      <c r="G124" s="20" t="str">
        <f>HYPERLINK("http://www.semena-nn.ru/catalog/18/1309466","Фото")</f>
        <v>Фото</v>
      </c>
      <c r="H124" s="18">
        <v>31.5</v>
      </c>
      <c r="I124" s="27"/>
      <c r="J124" s="13">
        <f>H124*I124</f>
        <v>0</v>
      </c>
    </row>
    <row r="125" spans="1:10" ht="12" customHeight="1">
      <c r="A125" s="13" t="s">
        <v>2650</v>
      </c>
      <c r="B125" s="13" t="s">
        <v>2651</v>
      </c>
      <c r="C125" s="13" t="s">
        <v>760</v>
      </c>
      <c r="D125" s="13" t="s">
        <v>697</v>
      </c>
      <c r="E125" s="13" t="s">
        <v>2636</v>
      </c>
      <c r="F125" s="13" t="s">
        <v>2652</v>
      </c>
      <c r="G125" s="20" t="str">
        <f>HYPERLINK("http://semena-nn.ru/catalog/18/97309","Фото")</f>
        <v>Фото</v>
      </c>
      <c r="H125" s="18">
        <v>19.100000000000001</v>
      </c>
      <c r="I125" s="27"/>
      <c r="J125" s="13">
        <f>H125*I125</f>
        <v>0</v>
      </c>
    </row>
    <row r="126" spans="1:10" ht="12" customHeight="1">
      <c r="A126" s="13" t="s">
        <v>3510</v>
      </c>
      <c r="B126" s="13" t="s">
        <v>3511</v>
      </c>
      <c r="C126" s="13" t="s">
        <v>760</v>
      </c>
      <c r="D126" s="13" t="s">
        <v>3475</v>
      </c>
      <c r="E126" s="13" t="s">
        <v>93</v>
      </c>
      <c r="F126" s="13" t="s">
        <v>3512</v>
      </c>
      <c r="G126" s="20" t="str">
        <f>HYPERLINK("https://semena-nn.ru/catalog/18/1289326","Фото")</f>
        <v>Фото</v>
      </c>
      <c r="H126" s="18">
        <v>34.5</v>
      </c>
      <c r="I126" s="27"/>
      <c r="J126" s="13">
        <f>H126*I126</f>
        <v>0</v>
      </c>
    </row>
    <row r="127" spans="1:10" ht="12" customHeight="1">
      <c r="A127" s="13" t="s">
        <v>7742</v>
      </c>
      <c r="B127" s="13" t="s">
        <v>7743</v>
      </c>
      <c r="C127" s="13" t="s">
        <v>406</v>
      </c>
      <c r="D127" s="13" t="s">
        <v>7728</v>
      </c>
      <c r="E127" s="13" t="s">
        <v>93</v>
      </c>
      <c r="F127" s="13" t="s">
        <v>7744</v>
      </c>
      <c r="G127" s="20" t="str">
        <f>HYPERLINK("http://semena-nn.ru/catalog/38/1120417","Фото")</f>
        <v>Фото</v>
      </c>
      <c r="H127" s="18">
        <v>25.5</v>
      </c>
      <c r="I127" s="27"/>
      <c r="J127" s="13">
        <f>H127*I127</f>
        <v>0</v>
      </c>
    </row>
    <row r="128" spans="1:10" ht="12" customHeight="1">
      <c r="A128" s="13" t="s">
        <v>768</v>
      </c>
      <c r="B128" s="13" t="s">
        <v>769</v>
      </c>
      <c r="C128" s="13" t="s">
        <v>770</v>
      </c>
      <c r="D128" s="13" t="s">
        <v>697</v>
      </c>
      <c r="E128" s="13" t="s">
        <v>93</v>
      </c>
      <c r="F128" s="13" t="s">
        <v>771</v>
      </c>
      <c r="G128" s="20" t="str">
        <f>HYPERLINK("http://semena-nn.ru/catalog/2/19/big_1302112.jpg","Фото")</f>
        <v>Фото</v>
      </c>
      <c r="H128" s="18">
        <v>18.7</v>
      </c>
      <c r="I128" s="27"/>
      <c r="J128" s="13">
        <f>H128*I128</f>
        <v>0</v>
      </c>
    </row>
    <row r="129" spans="1:10" ht="12" customHeight="1">
      <c r="A129" s="13" t="s">
        <v>7745</v>
      </c>
      <c r="B129" s="13" t="s">
        <v>7746</v>
      </c>
      <c r="C129" s="13" t="s">
        <v>406</v>
      </c>
      <c r="D129" s="13" t="s">
        <v>7728</v>
      </c>
      <c r="E129" s="13" t="s">
        <v>93</v>
      </c>
      <c r="F129" s="13" t="s">
        <v>7747</v>
      </c>
      <c r="G129" s="20" t="str">
        <f>HYPERLINK("https://semena-nn.ru/catalog/38/888000000999","Фото")</f>
        <v>Фото</v>
      </c>
      <c r="H129" s="18">
        <v>20.9</v>
      </c>
      <c r="I129" s="27"/>
      <c r="J129" s="13">
        <f>H129*I129</f>
        <v>0</v>
      </c>
    </row>
    <row r="130" spans="1:10" ht="12" customHeight="1">
      <c r="A130" s="13" t="s">
        <v>3513</v>
      </c>
      <c r="B130" s="13" t="s">
        <v>3514</v>
      </c>
      <c r="C130" s="13" t="s">
        <v>33</v>
      </c>
      <c r="D130" s="13" t="s">
        <v>3475</v>
      </c>
      <c r="E130" s="13" t="s">
        <v>93</v>
      </c>
      <c r="F130" s="13" t="s">
        <v>3515</v>
      </c>
      <c r="G130" s="20" t="str">
        <f>HYPERLINK("https://semena-nn.ru/catalog/1/1121623","Фото")</f>
        <v>Фото</v>
      </c>
      <c r="H130" s="18">
        <v>52.8</v>
      </c>
      <c r="I130" s="27"/>
      <c r="J130" s="13">
        <f>H130*I130</f>
        <v>0</v>
      </c>
    </row>
    <row r="131" spans="1:10" ht="12" customHeight="1">
      <c r="A131" s="13" t="s">
        <v>2653</v>
      </c>
      <c r="B131" s="13" t="s">
        <v>2654</v>
      </c>
      <c r="C131" s="13" t="s">
        <v>689</v>
      </c>
      <c r="D131" s="13" t="s">
        <v>697</v>
      </c>
      <c r="E131" s="13" t="s">
        <v>2636</v>
      </c>
      <c r="F131" s="13" t="s">
        <v>2655</v>
      </c>
      <c r="G131" s="20" t="str">
        <f>HYPERLINK("http://semena-nn.ru/catalog/21/3086","Фото")</f>
        <v>Фото</v>
      </c>
      <c r="H131" s="18">
        <v>9.4</v>
      </c>
      <c r="I131" s="27"/>
      <c r="J131" s="13">
        <f>H131*I131</f>
        <v>0</v>
      </c>
    </row>
    <row r="132" spans="1:10" ht="12" customHeight="1">
      <c r="A132" s="13" t="s">
        <v>4980</v>
      </c>
      <c r="B132" s="13" t="s">
        <v>4981</v>
      </c>
      <c r="C132" s="13" t="s">
        <v>689</v>
      </c>
      <c r="D132" s="13" t="s">
        <v>3475</v>
      </c>
      <c r="E132" s="13" t="s">
        <v>2636</v>
      </c>
      <c r="F132" s="13" t="s">
        <v>4982</v>
      </c>
      <c r="G132" s="20" t="str">
        <f>HYPERLINK("https://semena-nn.ru/catalog/21/999000006018","Фото")</f>
        <v>Фото</v>
      </c>
      <c r="H132" s="18">
        <v>7.1</v>
      </c>
      <c r="I132" s="27"/>
      <c r="J132" s="13">
        <f>H132*I132</f>
        <v>0</v>
      </c>
    </row>
    <row r="133" spans="1:10" ht="12" customHeight="1">
      <c r="A133" s="13" t="s">
        <v>7156</v>
      </c>
      <c r="B133" s="13" t="s">
        <v>7157</v>
      </c>
      <c r="C133" s="13" t="s">
        <v>689</v>
      </c>
      <c r="D133" s="13" t="s">
        <v>7148</v>
      </c>
      <c r="E133" s="13" t="s">
        <v>93</v>
      </c>
      <c r="F133" s="13" t="s">
        <v>7158</v>
      </c>
      <c r="G133" s="20" t="str">
        <f>HYPERLINK("https://semena-nn.ru/catalog/21/1313687","Фото")</f>
        <v>Фото</v>
      </c>
      <c r="H133" s="18">
        <v>47.9</v>
      </c>
      <c r="I133" s="27"/>
      <c r="J133" s="13">
        <f>H133*I133</f>
        <v>0</v>
      </c>
    </row>
    <row r="134" spans="1:10" ht="12" customHeight="1">
      <c r="A134" s="13" t="s">
        <v>7159</v>
      </c>
      <c r="B134" s="13" t="s">
        <v>7160</v>
      </c>
      <c r="C134" s="13" t="s">
        <v>689</v>
      </c>
      <c r="D134" s="13" t="s">
        <v>7148</v>
      </c>
      <c r="E134" s="13" t="s">
        <v>93</v>
      </c>
      <c r="F134" s="13" t="s">
        <v>7161</v>
      </c>
      <c r="G134" s="20" t="str">
        <f>HYPERLINK("http://www.semena-nn.ru/catalog/21/1314835","Фото")</f>
        <v>Фото</v>
      </c>
      <c r="H134" s="18">
        <v>45.4</v>
      </c>
      <c r="I134" s="27"/>
      <c r="J134" s="13">
        <f>H134*I134</f>
        <v>0</v>
      </c>
    </row>
    <row r="135" spans="1:10" ht="12" customHeight="1">
      <c r="A135" s="13" t="s">
        <v>772</v>
      </c>
      <c r="B135" s="13" t="s">
        <v>773</v>
      </c>
      <c r="C135" s="13" t="s">
        <v>689</v>
      </c>
      <c r="D135" s="13" t="s">
        <v>697</v>
      </c>
      <c r="E135" s="13" t="s">
        <v>93</v>
      </c>
      <c r="F135" s="13" t="s">
        <v>774</v>
      </c>
      <c r="G135" s="20" t="str">
        <f>HYPERLINK("https://semena-nn.ru/catalog/21/999000009137","Фото")</f>
        <v>Фото</v>
      </c>
      <c r="H135" s="18">
        <v>17.8</v>
      </c>
      <c r="I135" s="27"/>
      <c r="J135" s="13">
        <f>H135*I135</f>
        <v>0</v>
      </c>
    </row>
    <row r="136" spans="1:10" ht="12" customHeight="1">
      <c r="A136" s="13" t="s">
        <v>7162</v>
      </c>
      <c r="B136" s="13" t="s">
        <v>7163</v>
      </c>
      <c r="C136" s="13" t="s">
        <v>689</v>
      </c>
      <c r="D136" s="13" t="s">
        <v>7148</v>
      </c>
      <c r="E136" s="13" t="s">
        <v>93</v>
      </c>
      <c r="F136" s="13" t="s">
        <v>7164</v>
      </c>
      <c r="G136" s="20" t="str">
        <f>HYPERLINK("https://semena-nn.ru/catalog/21/888000007689","Фото")</f>
        <v>Фото</v>
      </c>
      <c r="H136" s="18">
        <v>50.4</v>
      </c>
      <c r="I136" s="27"/>
      <c r="J136" s="13">
        <f>H136*I136</f>
        <v>0</v>
      </c>
    </row>
    <row r="137" spans="1:10" ht="12" customHeight="1">
      <c r="A137" s="13" t="s">
        <v>7165</v>
      </c>
      <c r="B137" s="13" t="s">
        <v>7166</v>
      </c>
      <c r="C137" s="13" t="s">
        <v>689</v>
      </c>
      <c r="D137" s="13" t="s">
        <v>7148</v>
      </c>
      <c r="E137" s="13" t="s">
        <v>93</v>
      </c>
      <c r="F137" s="13" t="s">
        <v>7167</v>
      </c>
      <c r="G137" s="20" t="str">
        <f>HYPERLINK("https://semena-nn.ru/catalog/21/1313019","Фото")</f>
        <v>Фото</v>
      </c>
      <c r="H137" s="18">
        <v>50.4</v>
      </c>
      <c r="I137" s="27"/>
      <c r="J137" s="13">
        <f>H137*I137</f>
        <v>0</v>
      </c>
    </row>
    <row r="138" spans="1:10" ht="12" customHeight="1">
      <c r="A138" s="13" t="s">
        <v>775</v>
      </c>
      <c r="B138" s="13" t="s">
        <v>776</v>
      </c>
      <c r="C138" s="13" t="s">
        <v>689</v>
      </c>
      <c r="D138" s="13" t="s">
        <v>697</v>
      </c>
      <c r="E138" s="13" t="s">
        <v>93</v>
      </c>
      <c r="F138" s="13" t="s">
        <v>777</v>
      </c>
      <c r="G138" s="20" t="str">
        <f>HYPERLINK("https://semena-nn.ru/catalog/21/999000006326","Фото")</f>
        <v>Фото</v>
      </c>
      <c r="H138" s="19">
        <v>29.75</v>
      </c>
      <c r="I138" s="27"/>
      <c r="J138" s="13">
        <f>H138*I138</f>
        <v>0</v>
      </c>
    </row>
    <row r="139" spans="1:10" ht="12" customHeight="1">
      <c r="A139" s="13" t="s">
        <v>2656</v>
      </c>
      <c r="B139" s="13" t="s">
        <v>2657</v>
      </c>
      <c r="C139" s="13" t="s">
        <v>689</v>
      </c>
      <c r="D139" s="13" t="s">
        <v>697</v>
      </c>
      <c r="E139" s="13" t="s">
        <v>2636</v>
      </c>
      <c r="F139" s="13" t="s">
        <v>2658</v>
      </c>
      <c r="G139" s="20" t="str">
        <f>HYPERLINK("http://www.semena-nn.ru/catalog/21/1167","Фото")</f>
        <v>Фото</v>
      </c>
      <c r="H139" s="18">
        <v>9.4</v>
      </c>
      <c r="I139" s="27"/>
      <c r="J139" s="13">
        <f>H139*I139</f>
        <v>0</v>
      </c>
    </row>
    <row r="140" spans="1:10" ht="12" customHeight="1">
      <c r="A140" s="13" t="s">
        <v>778</v>
      </c>
      <c r="B140" s="13" t="s">
        <v>779</v>
      </c>
      <c r="C140" s="13" t="s">
        <v>689</v>
      </c>
      <c r="D140" s="13" t="s">
        <v>697</v>
      </c>
      <c r="E140" s="13" t="s">
        <v>93</v>
      </c>
      <c r="F140" s="13" t="s">
        <v>780</v>
      </c>
      <c r="G140" s="20" t="str">
        <f>HYPERLINK("https://semena-nn.ru/catalog/21/1127227","Фото")</f>
        <v>Фото</v>
      </c>
      <c r="H140" s="18">
        <v>29.1</v>
      </c>
      <c r="I140" s="27"/>
      <c r="J140" s="13">
        <f>H140*I140</f>
        <v>0</v>
      </c>
    </row>
    <row r="141" spans="1:10" ht="12" customHeight="1">
      <c r="A141" s="13" t="s">
        <v>5138</v>
      </c>
      <c r="B141" s="13" t="s">
        <v>5139</v>
      </c>
      <c r="C141" s="13" t="s">
        <v>689</v>
      </c>
      <c r="D141" s="13" t="s">
        <v>5136</v>
      </c>
      <c r="E141" s="13" t="s">
        <v>93</v>
      </c>
      <c r="F141" s="13" t="s">
        <v>5140</v>
      </c>
      <c r="G141" s="20" t="str">
        <f>HYPERLINK("https://semena-nn.ru/catalog/21/888000000336","Фото")</f>
        <v>Фото</v>
      </c>
      <c r="H141" s="18">
        <v>36.5</v>
      </c>
      <c r="I141" s="27"/>
      <c r="J141" s="13">
        <f>H141*I141</f>
        <v>0</v>
      </c>
    </row>
    <row r="142" spans="1:10" ht="12" customHeight="1">
      <c r="A142" s="13" t="s">
        <v>781</v>
      </c>
      <c r="B142" s="13" t="s">
        <v>782</v>
      </c>
      <c r="C142" s="13" t="s">
        <v>689</v>
      </c>
      <c r="D142" s="13" t="s">
        <v>697</v>
      </c>
      <c r="E142" s="13" t="s">
        <v>93</v>
      </c>
      <c r="F142" s="13" t="s">
        <v>783</v>
      </c>
      <c r="G142" s="20" t="str">
        <f>HYPERLINK("http://semena-nn.ru/catalog/2/21/big_1120498.jpg","Фото")</f>
        <v>Фото</v>
      </c>
      <c r="H142" s="18">
        <v>27.3</v>
      </c>
      <c r="I142" s="27"/>
      <c r="J142" s="13">
        <f>H142*I142</f>
        <v>0</v>
      </c>
    </row>
    <row r="143" spans="1:10" ht="12" customHeight="1">
      <c r="A143" s="13" t="s">
        <v>784</v>
      </c>
      <c r="B143" s="13" t="s">
        <v>785</v>
      </c>
      <c r="C143" s="13" t="s">
        <v>689</v>
      </c>
      <c r="D143" s="13" t="s">
        <v>697</v>
      </c>
      <c r="E143" s="13" t="s">
        <v>93</v>
      </c>
      <c r="F143" s="13" t="s">
        <v>786</v>
      </c>
      <c r="G143" s="20" t="str">
        <f>HYPERLINK("http://semena-nn.ru/catalog/2/21/big_1306659.jpg","Фото")</f>
        <v>Фото</v>
      </c>
      <c r="H143" s="19">
        <v>25.95</v>
      </c>
      <c r="I143" s="27"/>
      <c r="J143" s="13">
        <f>H143*I143</f>
        <v>0</v>
      </c>
    </row>
    <row r="144" spans="1:10" ht="12" customHeight="1">
      <c r="A144" s="13" t="s">
        <v>787</v>
      </c>
      <c r="B144" s="13" t="s">
        <v>788</v>
      </c>
      <c r="C144" s="13" t="s">
        <v>689</v>
      </c>
      <c r="D144" s="13" t="s">
        <v>697</v>
      </c>
      <c r="E144" s="13" t="s">
        <v>93</v>
      </c>
      <c r="F144" s="13" t="s">
        <v>789</v>
      </c>
      <c r="G144" s="20" t="str">
        <f>HYPERLINK("https://semena-nn.ru/catalog/21/1283742","Фото")</f>
        <v>Фото</v>
      </c>
      <c r="H144" s="18">
        <v>27.7</v>
      </c>
      <c r="I144" s="27"/>
      <c r="J144" s="13">
        <f>H144*I144</f>
        <v>0</v>
      </c>
    </row>
    <row r="145" spans="1:10" ht="12" customHeight="1">
      <c r="A145" s="13" t="s">
        <v>3516</v>
      </c>
      <c r="B145" s="13" t="s">
        <v>3517</v>
      </c>
      <c r="C145" s="13" t="s">
        <v>689</v>
      </c>
      <c r="D145" s="13" t="s">
        <v>3475</v>
      </c>
      <c r="E145" s="13" t="s">
        <v>93</v>
      </c>
      <c r="F145" s="13" t="s">
        <v>3518</v>
      </c>
      <c r="G145" s="20" t="str">
        <f>HYPERLINK("http://semena-nn.ru/catalog/21/1290191","Фото")</f>
        <v>Фото</v>
      </c>
      <c r="H145" s="19">
        <v>23.15</v>
      </c>
      <c r="I145" s="27"/>
      <c r="J145" s="13">
        <f>H145*I145</f>
        <v>0</v>
      </c>
    </row>
    <row r="146" spans="1:10" ht="12" customHeight="1">
      <c r="A146" s="13" t="s">
        <v>5141</v>
      </c>
      <c r="B146" s="13" t="s">
        <v>5142</v>
      </c>
      <c r="C146" s="13" t="s">
        <v>689</v>
      </c>
      <c r="D146" s="13" t="s">
        <v>5136</v>
      </c>
      <c r="E146" s="13" t="s">
        <v>93</v>
      </c>
      <c r="F146" s="13" t="s">
        <v>5143</v>
      </c>
      <c r="G146" s="20" t="str">
        <f>HYPERLINK("https://semena-nn.ru/catalog/21/888000000337","Фото")</f>
        <v>Фото</v>
      </c>
      <c r="H146" s="18">
        <v>39.5</v>
      </c>
      <c r="I146" s="27"/>
      <c r="J146" s="13">
        <f>H146*I146</f>
        <v>0</v>
      </c>
    </row>
    <row r="147" spans="1:10" ht="12" customHeight="1">
      <c r="A147" s="13" t="s">
        <v>790</v>
      </c>
      <c r="B147" s="13" t="s">
        <v>791</v>
      </c>
      <c r="C147" s="13" t="s">
        <v>689</v>
      </c>
      <c r="D147" s="13" t="s">
        <v>697</v>
      </c>
      <c r="E147" s="13" t="s">
        <v>93</v>
      </c>
      <c r="F147" s="13" t="s">
        <v>792</v>
      </c>
      <c r="G147" s="20" t="str">
        <f>HYPERLINK("https://semena-nn.ru/catalog/21/999000008033","Фото")</f>
        <v>Фото</v>
      </c>
      <c r="H147" s="19">
        <v>63.25</v>
      </c>
      <c r="I147" s="27"/>
      <c r="J147" s="13">
        <f>H147*I147</f>
        <v>0</v>
      </c>
    </row>
    <row r="148" spans="1:10" ht="12" customHeight="1">
      <c r="A148" s="13" t="s">
        <v>793</v>
      </c>
      <c r="B148" s="13" t="s">
        <v>794</v>
      </c>
      <c r="C148" s="13" t="s">
        <v>689</v>
      </c>
      <c r="D148" s="13" t="s">
        <v>697</v>
      </c>
      <c r="E148" s="13" t="s">
        <v>93</v>
      </c>
      <c r="F148" s="13" t="s">
        <v>795</v>
      </c>
      <c r="G148" s="20" t="str">
        <f>HYPERLINK("https://semena-nn.ru/catalog/21/999000019954","Фото")</f>
        <v>Фото</v>
      </c>
      <c r="H148" s="19">
        <v>63.25</v>
      </c>
      <c r="I148" s="27"/>
      <c r="J148" s="13">
        <f>H148*I148</f>
        <v>0</v>
      </c>
    </row>
    <row r="149" spans="1:10" ht="12" customHeight="1">
      <c r="A149" s="13" t="s">
        <v>3519</v>
      </c>
      <c r="B149" s="13" t="s">
        <v>3520</v>
      </c>
      <c r="C149" s="13" t="s">
        <v>689</v>
      </c>
      <c r="D149" s="13" t="s">
        <v>3475</v>
      </c>
      <c r="E149" s="13" t="s">
        <v>93</v>
      </c>
      <c r="F149" s="13" t="s">
        <v>3521</v>
      </c>
      <c r="G149" s="20" t="str">
        <f>HYPERLINK("http://semena-nn.ru/catalog/21/1299585","Фото")</f>
        <v>Фото</v>
      </c>
      <c r="H149" s="18">
        <v>34.200000000000003</v>
      </c>
      <c r="I149" s="27"/>
      <c r="J149" s="13">
        <f>H149*I149</f>
        <v>0</v>
      </c>
    </row>
    <row r="150" spans="1:10" ht="12" customHeight="1">
      <c r="A150" s="13" t="s">
        <v>3522</v>
      </c>
      <c r="B150" s="13" t="s">
        <v>3523</v>
      </c>
      <c r="C150" s="13" t="s">
        <v>689</v>
      </c>
      <c r="D150" s="13" t="s">
        <v>3475</v>
      </c>
      <c r="E150" s="13" t="s">
        <v>93</v>
      </c>
      <c r="F150" s="13" t="s">
        <v>3524</v>
      </c>
      <c r="G150" s="20" t="str">
        <f>HYPERLINK("http://semena-nn.ru/catalog/21/1121457","Фото")</f>
        <v>Фото</v>
      </c>
      <c r="H150" s="18">
        <v>18.7</v>
      </c>
      <c r="I150" s="27"/>
      <c r="J150" s="13">
        <f>H150*I150</f>
        <v>0</v>
      </c>
    </row>
    <row r="151" spans="1:10" ht="12" customHeight="1">
      <c r="A151" s="13" t="s">
        <v>2659</v>
      </c>
      <c r="B151" s="13" t="s">
        <v>2660</v>
      </c>
      <c r="C151" s="13" t="s">
        <v>689</v>
      </c>
      <c r="D151" s="13" t="s">
        <v>697</v>
      </c>
      <c r="E151" s="13" t="s">
        <v>2636</v>
      </c>
      <c r="F151" s="13" t="s">
        <v>2661</v>
      </c>
      <c r="G151" s="20" t="str">
        <f>HYPERLINK("https://semena-nn.ru/catalog/21/999000002078","Фото")</f>
        <v>Фото</v>
      </c>
      <c r="H151" s="18">
        <v>9.4</v>
      </c>
      <c r="I151" s="27"/>
      <c r="J151" s="13">
        <f>H151*I151</f>
        <v>0</v>
      </c>
    </row>
    <row r="152" spans="1:10" ht="12" customHeight="1">
      <c r="A152" s="13" t="s">
        <v>3525</v>
      </c>
      <c r="B152" s="13" t="s">
        <v>3526</v>
      </c>
      <c r="C152" s="13" t="s">
        <v>689</v>
      </c>
      <c r="D152" s="13" t="s">
        <v>3475</v>
      </c>
      <c r="E152" s="13" t="s">
        <v>93</v>
      </c>
      <c r="F152" s="13" t="s">
        <v>3527</v>
      </c>
      <c r="G152" s="20" t="str">
        <f>HYPERLINK("https://semena-nn.ru/catalog/21/999000011088","Фото")</f>
        <v>Фото</v>
      </c>
      <c r="H152" s="19">
        <v>28.25</v>
      </c>
      <c r="I152" s="27"/>
      <c r="J152" s="13">
        <f>H152*I152</f>
        <v>0</v>
      </c>
    </row>
    <row r="153" spans="1:10" ht="12" customHeight="1">
      <c r="A153" s="13" t="s">
        <v>2662</v>
      </c>
      <c r="B153" s="13" t="s">
        <v>2663</v>
      </c>
      <c r="C153" s="13" t="s">
        <v>689</v>
      </c>
      <c r="D153" s="13" t="s">
        <v>697</v>
      </c>
      <c r="E153" s="13" t="s">
        <v>2636</v>
      </c>
      <c r="F153" s="13" t="s">
        <v>2664</v>
      </c>
      <c r="G153" s="20" t="str">
        <f>HYPERLINK("http://semena-nn.ru/catalog/21/1126754","Фото")</f>
        <v>Фото</v>
      </c>
      <c r="H153" s="18">
        <v>9.4</v>
      </c>
      <c r="I153" s="27"/>
      <c r="J153" s="13">
        <f>H153*I153</f>
        <v>0</v>
      </c>
    </row>
    <row r="154" spans="1:10" ht="12" customHeight="1">
      <c r="A154" s="13" t="s">
        <v>796</v>
      </c>
      <c r="B154" s="13" t="s">
        <v>797</v>
      </c>
      <c r="C154" s="13" t="s">
        <v>689</v>
      </c>
      <c r="D154" s="13" t="s">
        <v>697</v>
      </c>
      <c r="E154" s="13" t="s">
        <v>93</v>
      </c>
      <c r="F154" s="13" t="s">
        <v>798</v>
      </c>
      <c r="G154" s="20" t="str">
        <f>HYPERLINK("http://semena-nn.ru/catalog/2/21/big_1120497.jpg","Фото")</f>
        <v>Фото</v>
      </c>
      <c r="H154" s="19">
        <v>27.25</v>
      </c>
      <c r="I154" s="27"/>
      <c r="J154" s="13">
        <f>H154*I154</f>
        <v>0</v>
      </c>
    </row>
    <row r="155" spans="1:10" ht="12" customHeight="1">
      <c r="A155" s="13" t="s">
        <v>799</v>
      </c>
      <c r="B155" s="13" t="s">
        <v>800</v>
      </c>
      <c r="C155" s="13" t="s">
        <v>689</v>
      </c>
      <c r="D155" s="13" t="s">
        <v>697</v>
      </c>
      <c r="E155" s="13" t="s">
        <v>93</v>
      </c>
      <c r="F155" s="13" t="s">
        <v>801</v>
      </c>
      <c r="G155" s="20" t="str">
        <f>HYPERLINK("http://semena-nn.ru/catalog/2/21/big_1122776.jpg","Фото")</f>
        <v>Фото</v>
      </c>
      <c r="H155" s="18">
        <v>27.3</v>
      </c>
      <c r="I155" s="27"/>
      <c r="J155" s="13">
        <f>H155*I155</f>
        <v>0</v>
      </c>
    </row>
    <row r="156" spans="1:10" ht="12" customHeight="1">
      <c r="A156" s="13" t="s">
        <v>3528</v>
      </c>
      <c r="B156" s="13" t="s">
        <v>3529</v>
      </c>
      <c r="C156" s="13" t="s">
        <v>689</v>
      </c>
      <c r="D156" s="13" t="s">
        <v>3475</v>
      </c>
      <c r="E156" s="13" t="s">
        <v>93</v>
      </c>
      <c r="F156" s="13" t="s">
        <v>3530</v>
      </c>
      <c r="G156" s="20" t="str">
        <f>HYPERLINK("https://semena-nn.ru/catalog/21/999000002915","Фото")</f>
        <v>Фото</v>
      </c>
      <c r="H156" s="18">
        <v>18.7</v>
      </c>
      <c r="I156" s="27"/>
      <c r="J156" s="13">
        <f>H156*I156</f>
        <v>0</v>
      </c>
    </row>
    <row r="157" spans="1:10" ht="12" customHeight="1">
      <c r="A157" s="13" t="s">
        <v>802</v>
      </c>
      <c r="B157" s="13" t="s">
        <v>803</v>
      </c>
      <c r="C157" s="13" t="s">
        <v>689</v>
      </c>
      <c r="D157" s="13" t="s">
        <v>697</v>
      </c>
      <c r="E157" s="13" t="s">
        <v>93</v>
      </c>
      <c r="F157" s="17" t="s">
        <v>804</v>
      </c>
      <c r="G157" s="20" t="str">
        <f>HYPERLINK("http://semena-nn.ru/catalog/2/21/big_1308062.jpg","Фото")</f>
        <v>Фото</v>
      </c>
      <c r="H157" s="18">
        <v>27.3</v>
      </c>
      <c r="I157" s="27"/>
      <c r="J157" s="13">
        <f>H157*I157</f>
        <v>0</v>
      </c>
    </row>
    <row r="158" spans="1:10" ht="12" customHeight="1">
      <c r="A158" s="13" t="s">
        <v>805</v>
      </c>
      <c r="B158" s="13" t="s">
        <v>806</v>
      </c>
      <c r="C158" s="13" t="s">
        <v>689</v>
      </c>
      <c r="D158" s="13" t="s">
        <v>697</v>
      </c>
      <c r="E158" s="13" t="s">
        <v>93</v>
      </c>
      <c r="F158" s="13" t="s">
        <v>807</v>
      </c>
      <c r="G158" s="20" t="str">
        <f>HYPERLINK("https://semena-nn.ru/catalog/21/1315414","Фото")</f>
        <v>Фото</v>
      </c>
      <c r="H158" s="18">
        <v>27.3</v>
      </c>
      <c r="I158" s="27"/>
      <c r="J158" s="13">
        <f>H158*I158</f>
        <v>0</v>
      </c>
    </row>
    <row r="159" spans="1:10" ht="12" customHeight="1">
      <c r="A159" s="13" t="s">
        <v>808</v>
      </c>
      <c r="B159" s="13" t="s">
        <v>809</v>
      </c>
      <c r="C159" s="13" t="s">
        <v>689</v>
      </c>
      <c r="D159" s="13" t="s">
        <v>697</v>
      </c>
      <c r="E159" s="13" t="s">
        <v>93</v>
      </c>
      <c r="F159" s="13" t="s">
        <v>810</v>
      </c>
      <c r="G159" s="20" t="str">
        <f>HYPERLINK("https://semena-nn.ru/catalog/21/999000002929","Фото")</f>
        <v>Фото</v>
      </c>
      <c r="H159" s="19">
        <v>25.95</v>
      </c>
      <c r="I159" s="27"/>
      <c r="J159" s="13">
        <f>H159*I159</f>
        <v>0</v>
      </c>
    </row>
    <row r="160" spans="1:10" ht="12" customHeight="1">
      <c r="A160" s="13" t="s">
        <v>811</v>
      </c>
      <c r="B160" s="13" t="s">
        <v>812</v>
      </c>
      <c r="C160" s="13" t="s">
        <v>689</v>
      </c>
      <c r="D160" s="13" t="s">
        <v>697</v>
      </c>
      <c r="E160" s="13" t="s">
        <v>93</v>
      </c>
      <c r="F160" s="17" t="s">
        <v>813</v>
      </c>
      <c r="G160" s="20" t="str">
        <f>HYPERLINK("https://semena-nn.ru/catalog/21/1314053","Фото")</f>
        <v>Фото</v>
      </c>
      <c r="H160" s="15">
        <v>26</v>
      </c>
      <c r="I160" s="27"/>
      <c r="J160" s="13">
        <f>H160*I160</f>
        <v>0</v>
      </c>
    </row>
    <row r="161" spans="1:10" ht="12" customHeight="1">
      <c r="A161" s="13" t="s">
        <v>7748</v>
      </c>
      <c r="B161" s="13" t="s">
        <v>7749</v>
      </c>
      <c r="C161" s="13" t="s">
        <v>696</v>
      </c>
      <c r="D161" s="13" t="s">
        <v>7728</v>
      </c>
      <c r="E161" s="13" t="s">
        <v>93</v>
      </c>
      <c r="F161" s="13" t="s">
        <v>7750</v>
      </c>
      <c r="G161" s="20" t="str">
        <f>HYPERLINK("https://semena-nn.ru/catalog/38/1283844","Фото")</f>
        <v>Фото</v>
      </c>
      <c r="H161" s="18">
        <v>22.2</v>
      </c>
      <c r="I161" s="27"/>
      <c r="J161" s="13">
        <f>H161*I161</f>
        <v>0</v>
      </c>
    </row>
    <row r="162" spans="1:10" ht="12" customHeight="1">
      <c r="A162" s="13" t="s">
        <v>7751</v>
      </c>
      <c r="B162" s="13" t="s">
        <v>7752</v>
      </c>
      <c r="C162" s="13" t="s">
        <v>696</v>
      </c>
      <c r="D162" s="13" t="s">
        <v>7728</v>
      </c>
      <c r="E162" s="13" t="s">
        <v>93</v>
      </c>
      <c r="F162" s="13" t="s">
        <v>7753</v>
      </c>
      <c r="G162" s="20" t="str">
        <f>HYPERLINK("http://semena-nn.ru/catalog/38/999000004969","Фото")</f>
        <v>Фото</v>
      </c>
      <c r="H162" s="18">
        <v>22.6</v>
      </c>
      <c r="I162" s="27"/>
      <c r="J162" s="13">
        <f>H162*I162</f>
        <v>0</v>
      </c>
    </row>
    <row r="163" spans="1:10" ht="12" customHeight="1">
      <c r="A163" s="13" t="s">
        <v>814</v>
      </c>
      <c r="B163" s="13" t="s">
        <v>815</v>
      </c>
      <c r="C163" s="13" t="s">
        <v>696</v>
      </c>
      <c r="D163" s="13" t="s">
        <v>697</v>
      </c>
      <c r="E163" s="13" t="s">
        <v>93</v>
      </c>
      <c r="F163" s="13" t="s">
        <v>816</v>
      </c>
      <c r="G163" s="20" t="str">
        <f>HYPERLINK("http://semena-nn.ru/catalog/38/1308622","Фото")</f>
        <v>Фото</v>
      </c>
      <c r="H163" s="18">
        <v>18.7</v>
      </c>
      <c r="I163" s="27"/>
      <c r="J163" s="13">
        <f>H163*I163</f>
        <v>0</v>
      </c>
    </row>
    <row r="164" spans="1:10" ht="12" customHeight="1">
      <c r="A164" s="13" t="s">
        <v>817</v>
      </c>
      <c r="B164" s="13" t="s">
        <v>818</v>
      </c>
      <c r="C164" s="13" t="s">
        <v>696</v>
      </c>
      <c r="D164" s="13" t="s">
        <v>697</v>
      </c>
      <c r="E164" s="13" t="s">
        <v>93</v>
      </c>
      <c r="F164" s="13" t="s">
        <v>819</v>
      </c>
      <c r="G164" s="20" t="str">
        <f>HYPERLINK("https://semena-nn.ru/catalog/38/1311034","Фото")</f>
        <v>Фото</v>
      </c>
      <c r="H164" s="18">
        <v>18.7</v>
      </c>
      <c r="I164" s="27"/>
      <c r="J164" s="13">
        <f>H164*I164</f>
        <v>0</v>
      </c>
    </row>
    <row r="165" spans="1:10" ht="12" customHeight="1">
      <c r="A165" s="13" t="s">
        <v>7168</v>
      </c>
      <c r="B165" s="13" t="s">
        <v>7169</v>
      </c>
      <c r="C165" s="13" t="s">
        <v>212</v>
      </c>
      <c r="D165" s="13" t="s">
        <v>7148</v>
      </c>
      <c r="E165" s="13" t="s">
        <v>93</v>
      </c>
      <c r="F165" s="13" t="s">
        <v>7170</v>
      </c>
      <c r="G165" s="20" t="str">
        <f>HYPERLINK("https://semena-nn.ru/catalog/22/999000009502","Фото")</f>
        <v>Фото</v>
      </c>
      <c r="H165" s="18">
        <v>56.6</v>
      </c>
      <c r="I165" s="27"/>
      <c r="J165" s="13">
        <f>H165*I165</f>
        <v>0</v>
      </c>
    </row>
    <row r="166" spans="1:10" ht="12" customHeight="1">
      <c r="A166" s="13" t="s">
        <v>7754</v>
      </c>
      <c r="B166" s="13" t="s">
        <v>7755</v>
      </c>
      <c r="C166" s="13" t="s">
        <v>212</v>
      </c>
      <c r="D166" s="13" t="s">
        <v>7728</v>
      </c>
      <c r="E166" s="13" t="s">
        <v>93</v>
      </c>
      <c r="F166" s="13" t="s">
        <v>7756</v>
      </c>
      <c r="G166" s="20" t="str">
        <f>HYPERLINK("http://www.semena-nn.ru/catalog/22/94363","Фото")</f>
        <v>Фото</v>
      </c>
      <c r="H166" s="18">
        <v>24.8</v>
      </c>
      <c r="I166" s="27"/>
      <c r="J166" s="13">
        <f>H166*I166</f>
        <v>0</v>
      </c>
    </row>
    <row r="167" spans="1:10" ht="12" customHeight="1">
      <c r="A167" s="13" t="s">
        <v>210</v>
      </c>
      <c r="B167" s="13" t="s">
        <v>211</v>
      </c>
      <c r="C167" s="13" t="s">
        <v>212</v>
      </c>
      <c r="D167" s="13" t="s">
        <v>28</v>
      </c>
      <c r="E167" s="13" t="s">
        <v>93</v>
      </c>
      <c r="F167" s="13" t="s">
        <v>213</v>
      </c>
      <c r="G167" s="20" t="str">
        <f>HYPERLINK("https://semena-nn.ru/catalog/22/999000009635","Фото")</f>
        <v>Фото</v>
      </c>
      <c r="H167" s="19">
        <v>20.48</v>
      </c>
      <c r="I167" s="27"/>
      <c r="J167" s="13">
        <f>H167*I167</f>
        <v>0</v>
      </c>
    </row>
    <row r="168" spans="1:10" ht="12" customHeight="1">
      <c r="A168" s="13"/>
      <c r="B168" s="13" t="s">
        <v>7171</v>
      </c>
      <c r="C168" s="13" t="s">
        <v>212</v>
      </c>
      <c r="D168" s="13" t="s">
        <v>7148</v>
      </c>
      <c r="E168" s="13" t="s">
        <v>93</v>
      </c>
      <c r="F168" s="13"/>
      <c r="G168" s="13"/>
      <c r="H168" s="19">
        <v>81.05</v>
      </c>
      <c r="I168" s="27"/>
      <c r="J168" s="13">
        <f>H168*I168</f>
        <v>0</v>
      </c>
    </row>
    <row r="169" spans="1:10" ht="12" customHeight="1">
      <c r="A169" s="13" t="s">
        <v>2665</v>
      </c>
      <c r="B169" s="13" t="s">
        <v>2666</v>
      </c>
      <c r="C169" s="13" t="s">
        <v>212</v>
      </c>
      <c r="D169" s="13" t="s">
        <v>697</v>
      </c>
      <c r="E169" s="13" t="s">
        <v>2636</v>
      </c>
      <c r="F169" s="13" t="s">
        <v>2667</v>
      </c>
      <c r="G169" s="20" t="str">
        <f>HYPERLINK("https://semena-nn.ru/catalog/22/1119675","Фото")</f>
        <v>Фото</v>
      </c>
      <c r="H169" s="19">
        <v>6.85</v>
      </c>
      <c r="I169" s="27"/>
      <c r="J169" s="13">
        <f>H169*I169</f>
        <v>0</v>
      </c>
    </row>
    <row r="170" spans="1:10" ht="12" customHeight="1">
      <c r="A170" s="13" t="s">
        <v>3077</v>
      </c>
      <c r="B170" s="13" t="s">
        <v>3078</v>
      </c>
      <c r="C170" s="13" t="s">
        <v>212</v>
      </c>
      <c r="D170" s="13" t="s">
        <v>697</v>
      </c>
      <c r="E170" s="13" t="s">
        <v>3064</v>
      </c>
      <c r="F170" s="13" t="s">
        <v>3079</v>
      </c>
      <c r="G170" s="20" t="str">
        <f>HYPERLINK("https://semena-nn.ru/catalog/22/999000003360","Фото")</f>
        <v>Фото</v>
      </c>
      <c r="H170" s="19">
        <v>12.05</v>
      </c>
      <c r="I170" s="27"/>
      <c r="J170" s="13">
        <f>H170*I170</f>
        <v>0</v>
      </c>
    </row>
    <row r="171" spans="1:10" ht="12" customHeight="1">
      <c r="A171" s="13" t="s">
        <v>214</v>
      </c>
      <c r="B171" s="13" t="s">
        <v>215</v>
      </c>
      <c r="C171" s="13" t="s">
        <v>212</v>
      </c>
      <c r="D171" s="13" t="s">
        <v>28</v>
      </c>
      <c r="E171" s="13" t="s">
        <v>93</v>
      </c>
      <c r="F171" s="13" t="s">
        <v>216</v>
      </c>
      <c r="G171" s="20" t="str">
        <f>HYPERLINK("https://semena-nn.ru/catalog/22/999000011191","Фото")</f>
        <v>Фото</v>
      </c>
      <c r="H171" s="19">
        <v>19.850000000000001</v>
      </c>
      <c r="I171" s="27"/>
      <c r="J171" s="13">
        <f>H171*I171</f>
        <v>0</v>
      </c>
    </row>
    <row r="172" spans="1:10" ht="12" customHeight="1">
      <c r="A172" s="13" t="s">
        <v>820</v>
      </c>
      <c r="B172" s="13" t="s">
        <v>821</v>
      </c>
      <c r="C172" s="13" t="s">
        <v>212</v>
      </c>
      <c r="D172" s="13" t="s">
        <v>697</v>
      </c>
      <c r="E172" s="13" t="s">
        <v>93</v>
      </c>
      <c r="F172" s="13" t="s">
        <v>822</v>
      </c>
      <c r="G172" s="20" t="str">
        <f>HYPERLINK("https://semena-nn.ru/catalog/22/999000009140","Фото")</f>
        <v>Фото</v>
      </c>
      <c r="H172" s="19">
        <v>43.85</v>
      </c>
      <c r="I172" s="27"/>
      <c r="J172" s="13">
        <f>H172*I172</f>
        <v>0</v>
      </c>
    </row>
    <row r="173" spans="1:10" ht="12" customHeight="1">
      <c r="A173" s="13" t="s">
        <v>2668</v>
      </c>
      <c r="B173" s="13" t="s">
        <v>2669</v>
      </c>
      <c r="C173" s="13" t="s">
        <v>212</v>
      </c>
      <c r="D173" s="13" t="s">
        <v>697</v>
      </c>
      <c r="E173" s="13" t="s">
        <v>2636</v>
      </c>
      <c r="F173" s="13" t="s">
        <v>2670</v>
      </c>
      <c r="G173" s="20" t="str">
        <f>HYPERLINK("http://semena-nn.ru/catalog/22/80404","Фото")</f>
        <v>Фото</v>
      </c>
      <c r="H173" s="19">
        <v>6.85</v>
      </c>
      <c r="I173" s="27"/>
      <c r="J173" s="13">
        <f>H173*I173</f>
        <v>0</v>
      </c>
    </row>
    <row r="174" spans="1:10" ht="12" customHeight="1">
      <c r="A174" s="13" t="s">
        <v>217</v>
      </c>
      <c r="B174" s="13" t="s">
        <v>218</v>
      </c>
      <c r="C174" s="13" t="s">
        <v>212</v>
      </c>
      <c r="D174" s="13" t="s">
        <v>28</v>
      </c>
      <c r="E174" s="13" t="s">
        <v>93</v>
      </c>
      <c r="F174" s="13" t="s">
        <v>219</v>
      </c>
      <c r="G174" s="20" t="str">
        <f>HYPERLINK("https://semena-nn.ru/catalog/22/999000009637","Фото")</f>
        <v>Фото</v>
      </c>
      <c r="H174" s="19">
        <v>24.15</v>
      </c>
      <c r="I174" s="27"/>
      <c r="J174" s="13">
        <f>H174*I174</f>
        <v>0</v>
      </c>
    </row>
    <row r="175" spans="1:10" ht="12" customHeight="1">
      <c r="A175" s="13" t="s">
        <v>7757</v>
      </c>
      <c r="B175" s="13" t="s">
        <v>7758</v>
      </c>
      <c r="C175" s="13" t="s">
        <v>212</v>
      </c>
      <c r="D175" s="13" t="s">
        <v>7728</v>
      </c>
      <c r="E175" s="13" t="s">
        <v>93</v>
      </c>
      <c r="F175" s="13" t="s">
        <v>7759</v>
      </c>
      <c r="G175" s="20" t="str">
        <f>HYPERLINK("http://semena-nn.ru/catalog/22/95338","Фото")</f>
        <v>Фото</v>
      </c>
      <c r="H175" s="18">
        <v>22.2</v>
      </c>
      <c r="I175" s="27"/>
      <c r="J175" s="13">
        <f>H175*I175</f>
        <v>0</v>
      </c>
    </row>
    <row r="176" spans="1:10" ht="12" customHeight="1">
      <c r="A176" s="13" t="s">
        <v>7760</v>
      </c>
      <c r="B176" s="13" t="s">
        <v>7761</v>
      </c>
      <c r="C176" s="13" t="s">
        <v>212</v>
      </c>
      <c r="D176" s="13" t="s">
        <v>7728</v>
      </c>
      <c r="E176" s="13" t="s">
        <v>93</v>
      </c>
      <c r="F176" s="13" t="s">
        <v>7762</v>
      </c>
      <c r="G176" s="20" t="str">
        <f>HYPERLINK("https://semena-nn.ru/catalog/22/999000010463","Фото")</f>
        <v>Фото</v>
      </c>
      <c r="H176" s="18">
        <v>22.2</v>
      </c>
      <c r="I176" s="27"/>
      <c r="J176" s="13">
        <f>H176*I176</f>
        <v>0</v>
      </c>
    </row>
    <row r="177" spans="1:10" ht="12" customHeight="1">
      <c r="A177" s="13" t="s">
        <v>823</v>
      </c>
      <c r="B177" s="13" t="s">
        <v>824</v>
      </c>
      <c r="C177" s="13" t="s">
        <v>825</v>
      </c>
      <c r="D177" s="13" t="s">
        <v>697</v>
      </c>
      <c r="E177" s="13" t="s">
        <v>93</v>
      </c>
      <c r="F177" s="13" t="s">
        <v>826</v>
      </c>
      <c r="G177" s="20" t="str">
        <f>HYPERLINK("https://semena-nn.ru/catalog/42/1306524","Фото")</f>
        <v>Фото</v>
      </c>
      <c r="H177" s="18">
        <v>18.7</v>
      </c>
      <c r="I177" s="27"/>
      <c r="J177" s="13">
        <f>H177*I177</f>
        <v>0</v>
      </c>
    </row>
    <row r="178" spans="1:10" ht="12" customHeight="1">
      <c r="A178" s="13" t="s">
        <v>827</v>
      </c>
      <c r="B178" s="13" t="s">
        <v>828</v>
      </c>
      <c r="C178" s="13" t="s">
        <v>696</v>
      </c>
      <c r="D178" s="13" t="s">
        <v>697</v>
      </c>
      <c r="E178" s="13" t="s">
        <v>93</v>
      </c>
      <c r="F178" s="13" t="s">
        <v>829</v>
      </c>
      <c r="G178" s="20" t="str">
        <f>HYPERLINK("http://semena-nn.ru/catalog/38/1116412","Фото")</f>
        <v>Фото</v>
      </c>
      <c r="H178" s="19">
        <v>21.35</v>
      </c>
      <c r="I178" s="27"/>
      <c r="J178" s="13">
        <f>H178*I178</f>
        <v>0</v>
      </c>
    </row>
    <row r="179" spans="1:10" ht="12" customHeight="1">
      <c r="A179" s="13" t="s">
        <v>830</v>
      </c>
      <c r="B179" s="13" t="s">
        <v>831</v>
      </c>
      <c r="C179" s="13" t="s">
        <v>406</v>
      </c>
      <c r="D179" s="13" t="s">
        <v>697</v>
      </c>
      <c r="E179" s="13" t="s">
        <v>93</v>
      </c>
      <c r="F179" s="13" t="s">
        <v>832</v>
      </c>
      <c r="G179" s="20" t="str">
        <f>HYPERLINK("https://semena-nn.ru/catalog/38/999000007760","Фото")</f>
        <v>Фото</v>
      </c>
      <c r="H179" s="18">
        <v>17.8</v>
      </c>
      <c r="I179" s="27"/>
      <c r="J179" s="13">
        <f>H179*I179</f>
        <v>0</v>
      </c>
    </row>
    <row r="180" spans="1:10" ht="12" customHeight="1">
      <c r="A180" s="13" t="s">
        <v>5144</v>
      </c>
      <c r="B180" s="13" t="s">
        <v>5145</v>
      </c>
      <c r="C180" s="13" t="s">
        <v>222</v>
      </c>
      <c r="D180" s="13" t="s">
        <v>5136</v>
      </c>
      <c r="E180" s="13" t="s">
        <v>93</v>
      </c>
      <c r="F180" s="13" t="s">
        <v>5146</v>
      </c>
      <c r="G180" s="20" t="str">
        <f>HYPERLINK("https://semena-nn.ru/catalog/23/888000007699","Фото")</f>
        <v>Фото</v>
      </c>
      <c r="H180" s="18">
        <v>52.5</v>
      </c>
      <c r="I180" s="27"/>
      <c r="J180" s="13">
        <f>H180*I180</f>
        <v>0</v>
      </c>
    </row>
    <row r="181" spans="1:10" ht="12" customHeight="1">
      <c r="A181" s="13" t="s">
        <v>7763</v>
      </c>
      <c r="B181" s="13" t="s">
        <v>7764</v>
      </c>
      <c r="C181" s="13" t="s">
        <v>222</v>
      </c>
      <c r="D181" s="13" t="s">
        <v>7728</v>
      </c>
      <c r="E181" s="13" t="s">
        <v>93</v>
      </c>
      <c r="F181" s="13" t="s">
        <v>7765</v>
      </c>
      <c r="G181" s="20" t="str">
        <f>HYPERLINK("http://semena-nn.ru/catalog/23/1290701","Фото")</f>
        <v>Фото</v>
      </c>
      <c r="H181" s="15">
        <v>25</v>
      </c>
      <c r="I181" s="27"/>
      <c r="J181" s="13">
        <f>H181*I181</f>
        <v>0</v>
      </c>
    </row>
    <row r="182" spans="1:10" ht="12" customHeight="1">
      <c r="A182" s="13" t="s">
        <v>7766</v>
      </c>
      <c r="B182" s="13" t="s">
        <v>7767</v>
      </c>
      <c r="C182" s="13" t="s">
        <v>222</v>
      </c>
      <c r="D182" s="13" t="s">
        <v>7728</v>
      </c>
      <c r="E182" s="13" t="s">
        <v>93</v>
      </c>
      <c r="F182" s="13" t="s">
        <v>7768</v>
      </c>
      <c r="G182" s="20" t="str">
        <f>HYPERLINK("http://semena-nn.ru/catalog/2/23/big_1290702.jpg","Фото")</f>
        <v>Фото</v>
      </c>
      <c r="H182" s="15">
        <v>25</v>
      </c>
      <c r="I182" s="27"/>
      <c r="J182" s="13">
        <f>H182*I182</f>
        <v>0</v>
      </c>
    </row>
    <row r="183" spans="1:10" ht="12" customHeight="1">
      <c r="A183" s="13" t="s">
        <v>3531</v>
      </c>
      <c r="B183" s="13" t="s">
        <v>3532</v>
      </c>
      <c r="C183" s="13" t="s">
        <v>222</v>
      </c>
      <c r="D183" s="13" t="s">
        <v>3475</v>
      </c>
      <c r="E183" s="13" t="s">
        <v>93</v>
      </c>
      <c r="F183" s="13" t="s">
        <v>3533</v>
      </c>
      <c r="G183" s="20" t="str">
        <f>HYPERLINK("https://semena-nn.ru/catalog/23/1288413","Фото")</f>
        <v>Фото</v>
      </c>
      <c r="H183" s="18">
        <v>27.4</v>
      </c>
      <c r="I183" s="27"/>
      <c r="J183" s="13">
        <f>H183*I183</f>
        <v>0</v>
      </c>
    </row>
    <row r="184" spans="1:10" ht="12" customHeight="1">
      <c r="A184" s="13" t="s">
        <v>2671</v>
      </c>
      <c r="B184" s="13" t="s">
        <v>2672</v>
      </c>
      <c r="C184" s="13" t="s">
        <v>222</v>
      </c>
      <c r="D184" s="13" t="s">
        <v>697</v>
      </c>
      <c r="E184" s="13" t="s">
        <v>2636</v>
      </c>
      <c r="F184" s="13" t="s">
        <v>2673</v>
      </c>
      <c r="G184" s="20" t="str">
        <f>HYPERLINK("https://semena-nn.ru/catalog/23/1283992","Фото")</f>
        <v>Фото</v>
      </c>
      <c r="H184" s="18">
        <v>9.4</v>
      </c>
      <c r="I184" s="27"/>
      <c r="J184" s="13">
        <f>H184*I184</f>
        <v>0</v>
      </c>
    </row>
    <row r="185" spans="1:10" ht="12" customHeight="1">
      <c r="A185" s="13" t="s">
        <v>833</v>
      </c>
      <c r="B185" s="13" t="s">
        <v>834</v>
      </c>
      <c r="C185" s="13" t="s">
        <v>222</v>
      </c>
      <c r="D185" s="13" t="s">
        <v>697</v>
      </c>
      <c r="E185" s="13" t="s">
        <v>93</v>
      </c>
      <c r="F185" s="13" t="s">
        <v>835</v>
      </c>
      <c r="G185" s="20" t="str">
        <f>HYPERLINK("https://semena-nn.ru/catalog/23/999000020222","Фото")</f>
        <v>Фото</v>
      </c>
      <c r="H185" s="18">
        <v>48.1</v>
      </c>
      <c r="I185" s="27"/>
      <c r="J185" s="13">
        <f>H185*I185</f>
        <v>0</v>
      </c>
    </row>
    <row r="186" spans="1:10" ht="12" customHeight="1">
      <c r="A186" s="13" t="s">
        <v>836</v>
      </c>
      <c r="B186" s="13" t="s">
        <v>837</v>
      </c>
      <c r="C186" s="13" t="s">
        <v>222</v>
      </c>
      <c r="D186" s="13" t="s">
        <v>697</v>
      </c>
      <c r="E186" s="13" t="s">
        <v>93</v>
      </c>
      <c r="F186" s="13" t="s">
        <v>838</v>
      </c>
      <c r="G186" s="20" t="str">
        <f>HYPERLINK("https://semena-nn.ru/catalog/23/888000000872","Фото")</f>
        <v>Фото</v>
      </c>
      <c r="H186" s="18">
        <v>42.3</v>
      </c>
      <c r="I186" s="27"/>
      <c r="J186" s="13">
        <f>H186*I186</f>
        <v>0</v>
      </c>
    </row>
    <row r="187" spans="1:10" ht="12" customHeight="1">
      <c r="A187" s="13" t="s">
        <v>8734</v>
      </c>
      <c r="B187" s="13" t="s">
        <v>8735</v>
      </c>
      <c r="C187" s="13" t="s">
        <v>222</v>
      </c>
      <c r="D187" s="13" t="s">
        <v>8717</v>
      </c>
      <c r="E187" s="13" t="s">
        <v>93</v>
      </c>
      <c r="F187" s="13" t="s">
        <v>8736</v>
      </c>
      <c r="G187" s="20" t="str">
        <f>HYPERLINK("https://semena-nn.ru/catalog/23/999000020167","Фото")</f>
        <v>Фото</v>
      </c>
      <c r="H187" s="18">
        <v>28.3</v>
      </c>
      <c r="I187" s="27"/>
      <c r="J187" s="13">
        <f>H187*I187</f>
        <v>0</v>
      </c>
    </row>
    <row r="188" spans="1:10" ht="12" customHeight="1">
      <c r="A188" s="13" t="s">
        <v>220</v>
      </c>
      <c r="B188" s="13" t="s">
        <v>221</v>
      </c>
      <c r="C188" s="13" t="s">
        <v>222</v>
      </c>
      <c r="D188" s="13" t="s">
        <v>28</v>
      </c>
      <c r="E188" s="13" t="s">
        <v>93</v>
      </c>
      <c r="F188" s="13" t="s">
        <v>223</v>
      </c>
      <c r="G188" s="20" t="str">
        <f>HYPERLINK("https://semena-nn.ru/catalog/23/999000020322","Фото")</f>
        <v>Фото</v>
      </c>
      <c r="H188" s="15">
        <v>23</v>
      </c>
      <c r="I188" s="27"/>
      <c r="J188" s="13">
        <f>H188*I188</f>
        <v>0</v>
      </c>
    </row>
    <row r="189" spans="1:10" ht="12" customHeight="1">
      <c r="A189" s="13" t="s">
        <v>5147</v>
      </c>
      <c r="B189" s="13" t="s">
        <v>5148</v>
      </c>
      <c r="C189" s="13" t="s">
        <v>222</v>
      </c>
      <c r="D189" s="13" t="s">
        <v>5136</v>
      </c>
      <c r="E189" s="13" t="s">
        <v>93</v>
      </c>
      <c r="F189" s="13" t="s">
        <v>5149</v>
      </c>
      <c r="G189" s="20" t="str">
        <f>HYPERLINK("https://semena-nn.ru/catalog/23/1313260","Фото")</f>
        <v>Фото</v>
      </c>
      <c r="H189" s="19">
        <v>47.25</v>
      </c>
      <c r="I189" s="27"/>
      <c r="J189" s="13">
        <f>H189*I189</f>
        <v>0</v>
      </c>
    </row>
    <row r="190" spans="1:10" ht="12" customHeight="1">
      <c r="A190" s="13" t="s">
        <v>5150</v>
      </c>
      <c r="B190" s="13" t="s">
        <v>5151</v>
      </c>
      <c r="C190" s="13" t="s">
        <v>222</v>
      </c>
      <c r="D190" s="13" t="s">
        <v>5136</v>
      </c>
      <c r="E190" s="13" t="s">
        <v>93</v>
      </c>
      <c r="F190" s="13" t="s">
        <v>5152</v>
      </c>
      <c r="G190" s="20" t="str">
        <f>HYPERLINK("https://semena-nn.ru/catalog/23/888000000119","Фото")</f>
        <v>Фото</v>
      </c>
      <c r="H190" s="15">
        <v>67</v>
      </c>
      <c r="I190" s="27"/>
      <c r="J190" s="13">
        <f>H190*I190</f>
        <v>0</v>
      </c>
    </row>
    <row r="191" spans="1:10" ht="12" customHeight="1">
      <c r="A191" s="13" t="s">
        <v>5153</v>
      </c>
      <c r="B191" s="13" t="s">
        <v>5154</v>
      </c>
      <c r="C191" s="13" t="s">
        <v>222</v>
      </c>
      <c r="D191" s="13" t="s">
        <v>5136</v>
      </c>
      <c r="E191" s="13" t="s">
        <v>93</v>
      </c>
      <c r="F191" s="13" t="s">
        <v>5155</v>
      </c>
      <c r="G191" s="20" t="str">
        <f>HYPERLINK("https://semena-nn.ru/catalog/23/888000007442","Фото")</f>
        <v>Фото</v>
      </c>
      <c r="H191" s="15">
        <v>67</v>
      </c>
      <c r="I191" s="27"/>
      <c r="J191" s="13">
        <f>H191*I191</f>
        <v>0</v>
      </c>
    </row>
    <row r="192" spans="1:10" ht="12" customHeight="1">
      <c r="A192" s="13" t="s">
        <v>5156</v>
      </c>
      <c r="B192" s="13" t="s">
        <v>5157</v>
      </c>
      <c r="C192" s="13" t="s">
        <v>222</v>
      </c>
      <c r="D192" s="13" t="s">
        <v>5136</v>
      </c>
      <c r="E192" s="13" t="s">
        <v>93</v>
      </c>
      <c r="F192" s="13" t="s">
        <v>5158</v>
      </c>
      <c r="G192" s="20" t="str">
        <f>HYPERLINK("https://semena-nn.ru/catalog/23/888000007443","Фото")</f>
        <v>Фото</v>
      </c>
      <c r="H192" s="15">
        <v>67</v>
      </c>
      <c r="I192" s="27"/>
      <c r="J192" s="13">
        <f>H192*I192</f>
        <v>0</v>
      </c>
    </row>
    <row r="193" spans="1:10" ht="12" customHeight="1">
      <c r="A193" s="13" t="s">
        <v>5159</v>
      </c>
      <c r="B193" s="13" t="s">
        <v>5160</v>
      </c>
      <c r="C193" s="13" t="s">
        <v>222</v>
      </c>
      <c r="D193" s="13" t="s">
        <v>5136</v>
      </c>
      <c r="E193" s="13" t="s">
        <v>93</v>
      </c>
      <c r="F193" s="13" t="s">
        <v>5161</v>
      </c>
      <c r="G193" s="20" t="str">
        <f>HYPERLINK("https://semena-nn.ru/catalog/23/888000007444","Фото")</f>
        <v>Фото</v>
      </c>
      <c r="H193" s="15">
        <v>67</v>
      </c>
      <c r="I193" s="27"/>
      <c r="J193" s="13">
        <f>H193*I193</f>
        <v>0</v>
      </c>
    </row>
    <row r="194" spans="1:10" ht="12" customHeight="1">
      <c r="A194" s="13" t="s">
        <v>839</v>
      </c>
      <c r="B194" s="13" t="s">
        <v>840</v>
      </c>
      <c r="C194" s="13" t="s">
        <v>696</v>
      </c>
      <c r="D194" s="13" t="s">
        <v>697</v>
      </c>
      <c r="E194" s="13" t="s">
        <v>93</v>
      </c>
      <c r="F194" s="13" t="s">
        <v>841</v>
      </c>
      <c r="G194" s="20" t="str">
        <f>HYPERLINK("https://semena-nn.ru/catalog/38/888000000873","Фото")</f>
        <v>Фото</v>
      </c>
      <c r="H194" s="18">
        <v>17.8</v>
      </c>
      <c r="I194" s="27"/>
      <c r="J194" s="13">
        <f>H194*I194</f>
        <v>0</v>
      </c>
    </row>
    <row r="195" spans="1:10" ht="12" customHeight="1">
      <c r="A195" s="13" t="s">
        <v>224</v>
      </c>
      <c r="B195" s="13" t="s">
        <v>225</v>
      </c>
      <c r="C195" s="13" t="s">
        <v>226</v>
      </c>
      <c r="D195" s="13" t="s">
        <v>28</v>
      </c>
      <c r="E195" s="13" t="s">
        <v>93</v>
      </c>
      <c r="F195" s="13" t="s">
        <v>227</v>
      </c>
      <c r="G195" s="20" t="str">
        <f>HYPERLINK("https://semena-nn.ru/catalog/47/999000012941","Фото")</f>
        <v>Фото</v>
      </c>
      <c r="H195" s="19">
        <v>19.850000000000001</v>
      </c>
      <c r="I195" s="27"/>
      <c r="J195" s="13">
        <f>H195*I195</f>
        <v>0</v>
      </c>
    </row>
    <row r="196" spans="1:10" ht="12" customHeight="1">
      <c r="A196" s="13" t="s">
        <v>228</v>
      </c>
      <c r="B196" s="13" t="s">
        <v>229</v>
      </c>
      <c r="C196" s="13" t="s">
        <v>226</v>
      </c>
      <c r="D196" s="13" t="s">
        <v>28</v>
      </c>
      <c r="E196" s="13" t="s">
        <v>93</v>
      </c>
      <c r="F196" s="13" t="s">
        <v>230</v>
      </c>
      <c r="G196" s="20" t="str">
        <f>HYPERLINK("https://semena-nn.ru/catalog/47/999000009952","Фото")</f>
        <v>Фото</v>
      </c>
      <c r="H196" s="19">
        <v>19.850000000000001</v>
      </c>
      <c r="I196" s="27"/>
      <c r="J196" s="13">
        <f>H196*I196</f>
        <v>0</v>
      </c>
    </row>
    <row r="197" spans="1:10" ht="12" customHeight="1">
      <c r="A197" s="13" t="s">
        <v>231</v>
      </c>
      <c r="B197" s="13" t="s">
        <v>232</v>
      </c>
      <c r="C197" s="13" t="s">
        <v>226</v>
      </c>
      <c r="D197" s="13" t="s">
        <v>28</v>
      </c>
      <c r="E197" s="13" t="s">
        <v>93</v>
      </c>
      <c r="F197" s="13" t="s">
        <v>233</v>
      </c>
      <c r="G197" s="20" t="str">
        <f>HYPERLINK("https://semena-nn.ru/catalog/47/999000012942","Фото")</f>
        <v>Фото</v>
      </c>
      <c r="H197" s="19">
        <v>19.850000000000001</v>
      </c>
      <c r="I197" s="27"/>
      <c r="J197" s="13">
        <f>H197*I197</f>
        <v>0</v>
      </c>
    </row>
    <row r="198" spans="1:10" ht="12" customHeight="1">
      <c r="A198" s="13" t="s">
        <v>234</v>
      </c>
      <c r="B198" s="13" t="s">
        <v>235</v>
      </c>
      <c r="C198" s="13" t="s">
        <v>236</v>
      </c>
      <c r="D198" s="13" t="s">
        <v>28</v>
      </c>
      <c r="E198" s="13" t="s">
        <v>93</v>
      </c>
      <c r="F198" s="13" t="s">
        <v>237</v>
      </c>
      <c r="G198" s="20" t="str">
        <f>HYPERLINK("https://semena-nn.ru/catalog/24/999000012962","Фото")</f>
        <v>Фото</v>
      </c>
      <c r="H198" s="19">
        <v>24.05</v>
      </c>
      <c r="I198" s="27"/>
      <c r="J198" s="13">
        <f>H198*I198</f>
        <v>0</v>
      </c>
    </row>
    <row r="199" spans="1:10" ht="12" customHeight="1">
      <c r="A199" s="13" t="s">
        <v>8737</v>
      </c>
      <c r="B199" s="13" t="s">
        <v>8738</v>
      </c>
      <c r="C199" s="13" t="s">
        <v>236</v>
      </c>
      <c r="D199" s="13" t="s">
        <v>8717</v>
      </c>
      <c r="E199" s="13" t="s">
        <v>93</v>
      </c>
      <c r="F199" s="13" t="s">
        <v>8739</v>
      </c>
      <c r="G199" s="20" t="str">
        <f>HYPERLINK("https://semena-nn.ru/catalog/24/999000009108","Фото")</f>
        <v>Фото</v>
      </c>
      <c r="H199" s="18">
        <v>90.8</v>
      </c>
      <c r="I199" s="27"/>
      <c r="J199" s="13">
        <f>H199*I199</f>
        <v>0</v>
      </c>
    </row>
    <row r="200" spans="1:10" ht="12" customHeight="1">
      <c r="A200" s="13" t="s">
        <v>842</v>
      </c>
      <c r="B200" s="13" t="s">
        <v>843</v>
      </c>
      <c r="C200" s="13" t="s">
        <v>236</v>
      </c>
      <c r="D200" s="13" t="s">
        <v>697</v>
      </c>
      <c r="E200" s="13" t="s">
        <v>93</v>
      </c>
      <c r="F200" s="13" t="s">
        <v>844</v>
      </c>
      <c r="G200" s="20" t="str">
        <f>HYPERLINK("http://semena-nn.ru/catalog/24/108920","Фото")</f>
        <v>Фото</v>
      </c>
      <c r="H200" s="15">
        <v>22</v>
      </c>
      <c r="I200" s="27"/>
      <c r="J200" s="13">
        <f>H200*I200</f>
        <v>0</v>
      </c>
    </row>
    <row r="201" spans="1:10" ht="12" customHeight="1">
      <c r="A201" s="13" t="s">
        <v>238</v>
      </c>
      <c r="B201" s="13" t="s">
        <v>239</v>
      </c>
      <c r="C201" s="13" t="s">
        <v>236</v>
      </c>
      <c r="D201" s="13" t="s">
        <v>28</v>
      </c>
      <c r="E201" s="13" t="s">
        <v>93</v>
      </c>
      <c r="F201" s="13" t="s">
        <v>240</v>
      </c>
      <c r="G201" s="20" t="str">
        <f>HYPERLINK("https://semena-nn.ru/catalog/24/999000012963","Фото")</f>
        <v>Фото</v>
      </c>
      <c r="H201" s="19">
        <v>40.53</v>
      </c>
      <c r="I201" s="27"/>
      <c r="J201" s="13">
        <f>H201*I201</f>
        <v>0</v>
      </c>
    </row>
    <row r="202" spans="1:10" ht="12" customHeight="1">
      <c r="A202" s="13" t="s">
        <v>845</v>
      </c>
      <c r="B202" s="13" t="s">
        <v>846</v>
      </c>
      <c r="C202" s="13" t="s">
        <v>236</v>
      </c>
      <c r="D202" s="13" t="s">
        <v>697</v>
      </c>
      <c r="E202" s="13" t="s">
        <v>93</v>
      </c>
      <c r="F202" s="13" t="s">
        <v>847</v>
      </c>
      <c r="G202" s="20" t="str">
        <f>HYPERLINK("https://semena-nn.ru/catalog/24/999000019958","Фото")</f>
        <v>Фото</v>
      </c>
      <c r="H202" s="19">
        <v>45.05</v>
      </c>
      <c r="I202" s="27"/>
      <c r="J202" s="13">
        <f>H202*I202</f>
        <v>0</v>
      </c>
    </row>
    <row r="203" spans="1:10" ht="12" customHeight="1">
      <c r="A203" s="13" t="s">
        <v>7769</v>
      </c>
      <c r="B203" s="13" t="s">
        <v>7770</v>
      </c>
      <c r="C203" s="13" t="s">
        <v>236</v>
      </c>
      <c r="D203" s="13" t="s">
        <v>7728</v>
      </c>
      <c r="E203" s="13" t="s">
        <v>93</v>
      </c>
      <c r="F203" s="13" t="s">
        <v>7771</v>
      </c>
      <c r="G203" s="20" t="str">
        <f>HYPERLINK("http://semena-nn.ru/catalog/24/1303531","Фото")</f>
        <v>Фото</v>
      </c>
      <c r="H203" s="19">
        <v>82.95</v>
      </c>
      <c r="I203" s="27"/>
      <c r="J203" s="13">
        <f>H203*I203</f>
        <v>0</v>
      </c>
    </row>
    <row r="204" spans="1:10" ht="12" customHeight="1">
      <c r="A204" s="13" t="s">
        <v>7772</v>
      </c>
      <c r="B204" s="13" t="s">
        <v>7773</v>
      </c>
      <c r="C204" s="13" t="s">
        <v>236</v>
      </c>
      <c r="D204" s="13" t="s">
        <v>7728</v>
      </c>
      <c r="E204" s="13" t="s">
        <v>93</v>
      </c>
      <c r="F204" s="13" t="s">
        <v>7774</v>
      </c>
      <c r="G204" s="20" t="str">
        <f>HYPERLINK("http://semena-nn.ru/catalog/2/24/big_1298332.jpg","Фото")</f>
        <v>Фото</v>
      </c>
      <c r="H204" s="18">
        <v>105.6</v>
      </c>
      <c r="I204" s="27"/>
      <c r="J204" s="13">
        <f>H204*I204</f>
        <v>0</v>
      </c>
    </row>
    <row r="205" spans="1:10" ht="12" customHeight="1">
      <c r="A205" s="13" t="s">
        <v>7775</v>
      </c>
      <c r="B205" s="13" t="s">
        <v>7776</v>
      </c>
      <c r="C205" s="13" t="s">
        <v>236</v>
      </c>
      <c r="D205" s="13" t="s">
        <v>7728</v>
      </c>
      <c r="E205" s="13" t="s">
        <v>93</v>
      </c>
      <c r="F205" s="13" t="s">
        <v>7777</v>
      </c>
      <c r="G205" s="20" t="str">
        <f>HYPERLINK("http://www.semena-nn.ru/catalog/24/1310091","Фото")</f>
        <v>Фото</v>
      </c>
      <c r="H205" s="18">
        <v>77.400000000000006</v>
      </c>
      <c r="I205" s="27"/>
      <c r="J205" s="13">
        <f>H205*I205</f>
        <v>0</v>
      </c>
    </row>
    <row r="206" spans="1:10" ht="12" customHeight="1">
      <c r="A206" s="13" t="s">
        <v>3080</v>
      </c>
      <c r="B206" s="13" t="s">
        <v>3081</v>
      </c>
      <c r="C206" s="13" t="s">
        <v>236</v>
      </c>
      <c r="D206" s="13" t="s">
        <v>697</v>
      </c>
      <c r="E206" s="13" t="s">
        <v>3064</v>
      </c>
      <c r="F206" s="13" t="s">
        <v>3082</v>
      </c>
      <c r="G206" s="20" t="str">
        <f>HYPERLINK("https://semena-nn.ru/catalog/24/1313850","Фото")</f>
        <v>Фото</v>
      </c>
      <c r="H206" s="19">
        <v>12.05</v>
      </c>
      <c r="I206" s="27"/>
      <c r="J206" s="13">
        <f>H206*I206</f>
        <v>0</v>
      </c>
    </row>
    <row r="207" spans="1:10" ht="12" customHeight="1">
      <c r="A207" s="13" t="s">
        <v>7172</v>
      </c>
      <c r="B207" s="13" t="s">
        <v>7173</v>
      </c>
      <c r="C207" s="13" t="s">
        <v>696</v>
      </c>
      <c r="D207" s="13" t="s">
        <v>7148</v>
      </c>
      <c r="E207" s="13" t="s">
        <v>93</v>
      </c>
      <c r="F207" s="13" t="s">
        <v>7174</v>
      </c>
      <c r="G207" s="20" t="str">
        <f>HYPERLINK("https://semena-nn.ru/catalog/38/999000013093","Фото")</f>
        <v>Фото</v>
      </c>
      <c r="H207" s="18">
        <v>55.5</v>
      </c>
      <c r="I207" s="27"/>
      <c r="J207" s="13">
        <f>H207*I207</f>
        <v>0</v>
      </c>
    </row>
    <row r="208" spans="1:10" ht="12" customHeight="1">
      <c r="A208" s="13" t="s">
        <v>5162</v>
      </c>
      <c r="B208" s="13" t="s">
        <v>5163</v>
      </c>
      <c r="C208" s="13" t="s">
        <v>406</v>
      </c>
      <c r="D208" s="13" t="s">
        <v>5136</v>
      </c>
      <c r="E208" s="13" t="s">
        <v>93</v>
      </c>
      <c r="F208" s="13" t="s">
        <v>5164</v>
      </c>
      <c r="G208" s="20" t="str">
        <f>HYPERLINK("https://semena-nn.ru/catalog/38/999000013266","Фото")</f>
        <v>Фото</v>
      </c>
      <c r="H208" s="15">
        <v>63</v>
      </c>
      <c r="I208" s="27"/>
      <c r="J208" s="13">
        <f>H208*I208</f>
        <v>0</v>
      </c>
    </row>
    <row r="209" spans="1:10" ht="12" customHeight="1">
      <c r="A209" s="13" t="s">
        <v>848</v>
      </c>
      <c r="B209" s="13" t="s">
        <v>849</v>
      </c>
      <c r="C209" s="13" t="s">
        <v>696</v>
      </c>
      <c r="D209" s="13" t="s">
        <v>697</v>
      </c>
      <c r="E209" s="13" t="s">
        <v>93</v>
      </c>
      <c r="F209" s="13" t="s">
        <v>850</v>
      </c>
      <c r="G209" s="20" t="str">
        <f>HYPERLINK("https://semena-nn.ru/catalog/38/1306648","Фото")</f>
        <v>Фото</v>
      </c>
      <c r="H209" s="18">
        <v>28.2</v>
      </c>
      <c r="I209" s="27"/>
      <c r="J209" s="13">
        <f>H209*I209</f>
        <v>0</v>
      </c>
    </row>
    <row r="210" spans="1:10" ht="12" customHeight="1">
      <c r="A210" s="13" t="s">
        <v>7778</v>
      </c>
      <c r="B210" s="13" t="s">
        <v>7779</v>
      </c>
      <c r="C210" s="13" t="s">
        <v>243</v>
      </c>
      <c r="D210" s="13" t="s">
        <v>7728</v>
      </c>
      <c r="E210" s="13" t="s">
        <v>93</v>
      </c>
      <c r="F210" s="13" t="s">
        <v>7780</v>
      </c>
      <c r="G210" s="20" t="str">
        <f>HYPERLINK("http://www.semena-nn.ru/catalog/25/1309729","Фото")</f>
        <v>Фото</v>
      </c>
      <c r="H210" s="15">
        <v>42</v>
      </c>
      <c r="I210" s="27"/>
      <c r="J210" s="13">
        <f>H210*I210</f>
        <v>0</v>
      </c>
    </row>
    <row r="211" spans="1:10" ht="12" customHeight="1">
      <c r="A211" s="13" t="s">
        <v>7781</v>
      </c>
      <c r="B211" s="13" t="s">
        <v>7782</v>
      </c>
      <c r="C211" s="13" t="s">
        <v>243</v>
      </c>
      <c r="D211" s="13" t="s">
        <v>7728</v>
      </c>
      <c r="E211" s="13" t="s">
        <v>93</v>
      </c>
      <c r="F211" s="13" t="s">
        <v>7783</v>
      </c>
      <c r="G211" s="20" t="str">
        <f>HYPERLINK("http://semena-nn.ru/catalog/25/999000002371","Фото")</f>
        <v>Фото</v>
      </c>
      <c r="H211" s="18">
        <v>39.700000000000003</v>
      </c>
      <c r="I211" s="27"/>
      <c r="J211" s="13">
        <f>H211*I211</f>
        <v>0</v>
      </c>
    </row>
    <row r="212" spans="1:10" ht="12" customHeight="1">
      <c r="A212" s="13" t="s">
        <v>851</v>
      </c>
      <c r="B212" s="13" t="s">
        <v>852</v>
      </c>
      <c r="C212" s="13" t="s">
        <v>243</v>
      </c>
      <c r="D212" s="13" t="s">
        <v>697</v>
      </c>
      <c r="E212" s="13" t="s">
        <v>93</v>
      </c>
      <c r="F212" s="13" t="s">
        <v>853</v>
      </c>
      <c r="G212" s="20" t="str">
        <f>HYPERLINK("https://semena-nn.ru/catalog/25/888000001484","Фото")</f>
        <v>Фото</v>
      </c>
      <c r="H212" s="19">
        <v>37.85</v>
      </c>
      <c r="I212" s="27"/>
      <c r="J212" s="13">
        <f>H212*I212</f>
        <v>0</v>
      </c>
    </row>
    <row r="213" spans="1:10" ht="12" customHeight="1">
      <c r="A213" s="13" t="s">
        <v>241</v>
      </c>
      <c r="B213" s="13" t="s">
        <v>242</v>
      </c>
      <c r="C213" s="13" t="s">
        <v>243</v>
      </c>
      <c r="D213" s="13" t="s">
        <v>28</v>
      </c>
      <c r="E213" s="13" t="s">
        <v>93</v>
      </c>
      <c r="F213" s="13" t="s">
        <v>244</v>
      </c>
      <c r="G213" s="20" t="str">
        <f>HYPERLINK("https://semena-nn.ru/catalog/25/999000009659","Фото")</f>
        <v>Фото</v>
      </c>
      <c r="H213" s="19">
        <v>26.46</v>
      </c>
      <c r="I213" s="27"/>
      <c r="J213" s="13">
        <f>H213*I213</f>
        <v>0</v>
      </c>
    </row>
    <row r="214" spans="1:10" ht="12" customHeight="1">
      <c r="A214" s="13" t="s">
        <v>3083</v>
      </c>
      <c r="B214" s="13" t="s">
        <v>3084</v>
      </c>
      <c r="C214" s="13" t="s">
        <v>243</v>
      </c>
      <c r="D214" s="13" t="s">
        <v>697</v>
      </c>
      <c r="E214" s="13" t="s">
        <v>3064</v>
      </c>
      <c r="F214" s="13" t="s">
        <v>3085</v>
      </c>
      <c r="G214" s="20" t="str">
        <f>HYPERLINK("https://semena-nn.ru/catalog/25/888000000600","Фото")</f>
        <v>Фото</v>
      </c>
      <c r="H214" s="19">
        <v>12.65</v>
      </c>
      <c r="I214" s="27"/>
      <c r="J214" s="13">
        <f>H214*I214</f>
        <v>0</v>
      </c>
    </row>
    <row r="215" spans="1:10" ht="12" customHeight="1">
      <c r="A215" s="13" t="s">
        <v>2674</v>
      </c>
      <c r="B215" s="13" t="s">
        <v>2675</v>
      </c>
      <c r="C215" s="13" t="s">
        <v>243</v>
      </c>
      <c r="D215" s="13" t="s">
        <v>697</v>
      </c>
      <c r="E215" s="13" t="s">
        <v>2636</v>
      </c>
      <c r="F215" s="13" t="s">
        <v>2676</v>
      </c>
      <c r="G215" s="20" t="str">
        <f>HYPERLINK("https://semena-nn.ru/catalog/25/3128","Фото")</f>
        <v>Фото</v>
      </c>
      <c r="H215" s="18">
        <v>8.3000000000000007</v>
      </c>
      <c r="I215" s="27"/>
      <c r="J215" s="13">
        <f>H215*I215</f>
        <v>0</v>
      </c>
    </row>
    <row r="216" spans="1:10" ht="12" customHeight="1">
      <c r="A216" s="13" t="s">
        <v>7784</v>
      </c>
      <c r="B216" s="13" t="s">
        <v>7785</v>
      </c>
      <c r="C216" s="13" t="s">
        <v>243</v>
      </c>
      <c r="D216" s="13" t="s">
        <v>7728</v>
      </c>
      <c r="E216" s="13" t="s">
        <v>93</v>
      </c>
      <c r="F216" s="13" t="s">
        <v>7786</v>
      </c>
      <c r="G216" s="20" t="str">
        <f>HYPERLINK("https://semena-nn.ru/catalog/25/1120357","Фото")</f>
        <v>Фото</v>
      </c>
      <c r="H216" s="18">
        <v>45.5</v>
      </c>
      <c r="I216" s="27"/>
      <c r="J216" s="13">
        <f>H216*I216</f>
        <v>0</v>
      </c>
    </row>
    <row r="217" spans="1:10" ht="12" customHeight="1">
      <c r="A217" s="13" t="s">
        <v>6944</v>
      </c>
      <c r="B217" s="13" t="s">
        <v>6945</v>
      </c>
      <c r="C217" s="13" t="s">
        <v>243</v>
      </c>
      <c r="D217" s="13" t="s">
        <v>6927</v>
      </c>
      <c r="E217" s="13" t="s">
        <v>93</v>
      </c>
      <c r="F217" s="17" t="s">
        <v>6946</v>
      </c>
      <c r="G217" s="20" t="str">
        <f>HYPERLINK("https://semena-nn.ru/catalog/25/999000008189","Фото")</f>
        <v>Фото</v>
      </c>
      <c r="H217" s="18">
        <v>27.4</v>
      </c>
      <c r="I217" s="27"/>
      <c r="J217" s="13">
        <f>H217*I217</f>
        <v>0</v>
      </c>
    </row>
    <row r="218" spans="1:10" ht="12" customHeight="1">
      <c r="A218" s="13" t="s">
        <v>2677</v>
      </c>
      <c r="B218" s="13" t="s">
        <v>2678</v>
      </c>
      <c r="C218" s="13" t="s">
        <v>243</v>
      </c>
      <c r="D218" s="13" t="s">
        <v>697</v>
      </c>
      <c r="E218" s="13" t="s">
        <v>2636</v>
      </c>
      <c r="F218" s="13" t="s">
        <v>2679</v>
      </c>
      <c r="G218" s="20" t="str">
        <f>HYPERLINK("http://semena-nn.ru/catalog/25/3147","Фото")</f>
        <v>Фото</v>
      </c>
      <c r="H218" s="18">
        <v>7.2</v>
      </c>
      <c r="I218" s="27"/>
      <c r="J218" s="13">
        <f>H218*I218</f>
        <v>0</v>
      </c>
    </row>
    <row r="219" spans="1:10" ht="12" customHeight="1">
      <c r="A219" s="13" t="s">
        <v>3086</v>
      </c>
      <c r="B219" s="13" t="s">
        <v>3087</v>
      </c>
      <c r="C219" s="13" t="s">
        <v>243</v>
      </c>
      <c r="D219" s="13" t="s">
        <v>697</v>
      </c>
      <c r="E219" s="13" t="s">
        <v>3064</v>
      </c>
      <c r="F219" s="13" t="s">
        <v>3088</v>
      </c>
      <c r="G219" s="20" t="str">
        <f>HYPERLINK("https://semena-nn.ru/catalog/25/1308606","Фото")</f>
        <v>Фото</v>
      </c>
      <c r="H219" s="19">
        <v>12.65</v>
      </c>
      <c r="I219" s="27"/>
      <c r="J219" s="13">
        <f>H219*I219</f>
        <v>0</v>
      </c>
    </row>
    <row r="220" spans="1:10" ht="12" customHeight="1">
      <c r="A220" s="13" t="s">
        <v>854</v>
      </c>
      <c r="B220" s="13" t="s">
        <v>855</v>
      </c>
      <c r="C220" s="13" t="s">
        <v>243</v>
      </c>
      <c r="D220" s="13" t="s">
        <v>697</v>
      </c>
      <c r="E220" s="13" t="s">
        <v>93</v>
      </c>
      <c r="F220" s="13" t="s">
        <v>856</v>
      </c>
      <c r="G220" s="20" t="str">
        <f>HYPERLINK("http://semena-nn.ru/catalog/25/112998","Фото")</f>
        <v>Фото</v>
      </c>
      <c r="H220" s="18">
        <v>18.7</v>
      </c>
      <c r="I220" s="27"/>
      <c r="J220" s="13">
        <f>H220*I220</f>
        <v>0</v>
      </c>
    </row>
    <row r="221" spans="1:10" ht="12" customHeight="1">
      <c r="A221" s="13" t="s">
        <v>245</v>
      </c>
      <c r="B221" s="13" t="s">
        <v>246</v>
      </c>
      <c r="C221" s="13" t="s">
        <v>243</v>
      </c>
      <c r="D221" s="13" t="s">
        <v>28</v>
      </c>
      <c r="E221" s="13" t="s">
        <v>93</v>
      </c>
      <c r="F221" s="13" t="s">
        <v>247</v>
      </c>
      <c r="G221" s="20" t="str">
        <f>HYPERLINK("https://semena-nn.ru/catalog/25/999000010604","Фото")</f>
        <v>Фото</v>
      </c>
      <c r="H221" s="19">
        <v>24.36</v>
      </c>
      <c r="I221" s="27"/>
      <c r="J221" s="13">
        <f>H221*I221</f>
        <v>0</v>
      </c>
    </row>
    <row r="222" spans="1:10" ht="12" customHeight="1">
      <c r="A222" s="13" t="s">
        <v>3089</v>
      </c>
      <c r="B222" s="13" t="s">
        <v>3090</v>
      </c>
      <c r="C222" s="13" t="s">
        <v>243</v>
      </c>
      <c r="D222" s="13" t="s">
        <v>697</v>
      </c>
      <c r="E222" s="13" t="s">
        <v>3064</v>
      </c>
      <c r="F222" s="13" t="s">
        <v>3091</v>
      </c>
      <c r="G222" s="20" t="str">
        <f>HYPERLINK("https://semena-nn.ru/catalog/25/888000000601","Фото")</f>
        <v>Фото</v>
      </c>
      <c r="H222" s="19">
        <v>12.05</v>
      </c>
      <c r="I222" s="27"/>
      <c r="J222" s="13">
        <f>H222*I222</f>
        <v>0</v>
      </c>
    </row>
    <row r="223" spans="1:10" ht="12" customHeight="1">
      <c r="A223" s="13" t="s">
        <v>2680</v>
      </c>
      <c r="B223" s="13" t="s">
        <v>2681</v>
      </c>
      <c r="C223" s="13" t="s">
        <v>243</v>
      </c>
      <c r="D223" s="13" t="s">
        <v>697</v>
      </c>
      <c r="E223" s="13" t="s">
        <v>2636</v>
      </c>
      <c r="F223" s="13" t="s">
        <v>2682</v>
      </c>
      <c r="G223" s="20" t="str">
        <f>HYPERLINK("http://semena-nn.ru/catalog/25/3129","Фото")</f>
        <v>Фото</v>
      </c>
      <c r="H223" s="18">
        <v>8.8000000000000007</v>
      </c>
      <c r="I223" s="27"/>
      <c r="J223" s="13">
        <f>H223*I223</f>
        <v>0</v>
      </c>
    </row>
    <row r="224" spans="1:10" ht="12" customHeight="1">
      <c r="A224" s="13" t="s">
        <v>3092</v>
      </c>
      <c r="B224" s="13" t="s">
        <v>3093</v>
      </c>
      <c r="C224" s="13" t="s">
        <v>243</v>
      </c>
      <c r="D224" s="13" t="s">
        <v>697</v>
      </c>
      <c r="E224" s="13" t="s">
        <v>3064</v>
      </c>
      <c r="F224" s="13" t="s">
        <v>3094</v>
      </c>
      <c r="G224" s="20" t="str">
        <f>HYPERLINK("https://semena-nn.ru/catalog/25/1314435","Фото")</f>
        <v>Фото</v>
      </c>
      <c r="H224" s="19">
        <v>12.65</v>
      </c>
      <c r="I224" s="27"/>
      <c r="J224" s="13">
        <f>H224*I224</f>
        <v>0</v>
      </c>
    </row>
    <row r="225" spans="1:10" ht="12" customHeight="1">
      <c r="A225" s="13" t="s">
        <v>6430</v>
      </c>
      <c r="B225" s="13" t="s">
        <v>6431</v>
      </c>
      <c r="C225" s="13" t="s">
        <v>243</v>
      </c>
      <c r="D225" s="13" t="s">
        <v>87</v>
      </c>
      <c r="E225" s="13" t="s">
        <v>93</v>
      </c>
      <c r="F225" s="13" t="s">
        <v>6432</v>
      </c>
      <c r="G225" s="20" t="str">
        <f>HYPERLINK("https://semena-nn.ru/catalog/25/1290352","Фото")</f>
        <v>Фото</v>
      </c>
      <c r="H225" s="19">
        <v>68.25</v>
      </c>
      <c r="I225" s="27"/>
      <c r="J225" s="13">
        <f>H225*I225</f>
        <v>0</v>
      </c>
    </row>
    <row r="226" spans="1:10" ht="12" customHeight="1">
      <c r="A226" s="13" t="s">
        <v>6893</v>
      </c>
      <c r="B226" s="13" t="s">
        <v>6894</v>
      </c>
      <c r="C226" s="13" t="s">
        <v>243</v>
      </c>
      <c r="D226" s="13" t="s">
        <v>87</v>
      </c>
      <c r="E226" s="13" t="s">
        <v>2636</v>
      </c>
      <c r="F226" s="13" t="s">
        <v>6895</v>
      </c>
      <c r="G226" s="20" t="str">
        <f>HYPERLINK("https://semena-nn.ru/catalog/25/1298551","Фото")</f>
        <v>Фото</v>
      </c>
      <c r="H226" s="19">
        <v>11.15</v>
      </c>
      <c r="I226" s="27"/>
      <c r="J226" s="13">
        <f>H226*I226</f>
        <v>0</v>
      </c>
    </row>
    <row r="227" spans="1:10" ht="12" customHeight="1">
      <c r="A227" s="13" t="s">
        <v>857</v>
      </c>
      <c r="B227" s="13" t="s">
        <v>858</v>
      </c>
      <c r="C227" s="13" t="s">
        <v>243</v>
      </c>
      <c r="D227" s="13" t="s">
        <v>697</v>
      </c>
      <c r="E227" s="13" t="s">
        <v>93</v>
      </c>
      <c r="F227" s="13" t="s">
        <v>859</v>
      </c>
      <c r="G227" s="20" t="str">
        <f>HYPERLINK("https://semena-nn.ru/catalog/25/888000001485","Фото")</f>
        <v>Фото</v>
      </c>
      <c r="H227" s="19">
        <v>37.85</v>
      </c>
      <c r="I227" s="27"/>
      <c r="J227" s="13">
        <f>H227*I227</f>
        <v>0</v>
      </c>
    </row>
    <row r="228" spans="1:10" ht="12" customHeight="1">
      <c r="A228" s="13" t="s">
        <v>3095</v>
      </c>
      <c r="B228" s="13" t="s">
        <v>3096</v>
      </c>
      <c r="C228" s="13" t="s">
        <v>243</v>
      </c>
      <c r="D228" s="13" t="s">
        <v>697</v>
      </c>
      <c r="E228" s="13" t="s">
        <v>3064</v>
      </c>
      <c r="F228" s="13" t="s">
        <v>3097</v>
      </c>
      <c r="G228" s="20" t="str">
        <f>HYPERLINK("https://semena-nn.ru/catalog/25/888000000595","Фото")</f>
        <v>Фото</v>
      </c>
      <c r="H228" s="19">
        <v>12.65</v>
      </c>
      <c r="I228" s="27"/>
      <c r="J228" s="13">
        <f>H228*I228</f>
        <v>0</v>
      </c>
    </row>
    <row r="229" spans="1:10" ht="12" customHeight="1">
      <c r="A229" s="13" t="s">
        <v>8740</v>
      </c>
      <c r="B229" s="13" t="s">
        <v>8741</v>
      </c>
      <c r="C229" s="13" t="s">
        <v>243</v>
      </c>
      <c r="D229" s="13" t="s">
        <v>8717</v>
      </c>
      <c r="E229" s="13" t="s">
        <v>93</v>
      </c>
      <c r="F229" s="13" t="s">
        <v>8742</v>
      </c>
      <c r="G229" s="20" t="str">
        <f>HYPERLINK("http://semena-nn.ru/catalog/25/1311884","Фото")</f>
        <v>Фото</v>
      </c>
      <c r="H229" s="18">
        <v>21.4</v>
      </c>
      <c r="I229" s="27"/>
      <c r="J229" s="13">
        <f>H229*I229</f>
        <v>0</v>
      </c>
    </row>
    <row r="230" spans="1:10" ht="12" customHeight="1">
      <c r="A230" s="13" t="s">
        <v>3534</v>
      </c>
      <c r="B230" s="13" t="s">
        <v>3535</v>
      </c>
      <c r="C230" s="13" t="s">
        <v>243</v>
      </c>
      <c r="D230" s="13" t="s">
        <v>3475</v>
      </c>
      <c r="E230" s="13" t="s">
        <v>93</v>
      </c>
      <c r="F230" s="13" t="s">
        <v>3536</v>
      </c>
      <c r="G230" s="20" t="str">
        <f>HYPERLINK("https://semena-nn.ru/catalog/25/888000000593","Фото")</f>
        <v>Фото</v>
      </c>
      <c r="H230" s="18">
        <v>18.7</v>
      </c>
      <c r="I230" s="27"/>
      <c r="J230" s="13">
        <f>H230*I230</f>
        <v>0</v>
      </c>
    </row>
    <row r="231" spans="1:10" ht="12" customHeight="1">
      <c r="A231" s="13" t="s">
        <v>3537</v>
      </c>
      <c r="B231" s="13" t="s">
        <v>3538</v>
      </c>
      <c r="C231" s="13" t="s">
        <v>243</v>
      </c>
      <c r="D231" s="13" t="s">
        <v>3475</v>
      </c>
      <c r="E231" s="13" t="s">
        <v>93</v>
      </c>
      <c r="F231" s="13" t="s">
        <v>3539</v>
      </c>
      <c r="G231" s="20" t="str">
        <f>HYPERLINK("http://semena-nn.ru/catalog/25/999000003873","Фото")</f>
        <v>Фото</v>
      </c>
      <c r="H231" s="18">
        <v>18.7</v>
      </c>
      <c r="I231" s="27"/>
      <c r="J231" s="13">
        <f>H231*I231</f>
        <v>0</v>
      </c>
    </row>
    <row r="232" spans="1:10" ht="12" customHeight="1">
      <c r="A232" s="13" t="s">
        <v>3098</v>
      </c>
      <c r="B232" s="13" t="s">
        <v>3099</v>
      </c>
      <c r="C232" s="13" t="s">
        <v>243</v>
      </c>
      <c r="D232" s="13" t="s">
        <v>697</v>
      </c>
      <c r="E232" s="13" t="s">
        <v>3064</v>
      </c>
      <c r="F232" s="13" t="s">
        <v>3100</v>
      </c>
      <c r="G232" s="20" t="str">
        <f>HYPERLINK("https://semena-nn.ru/catalog/25/888000000602","Фото")</f>
        <v>Фото</v>
      </c>
      <c r="H232" s="19">
        <v>12.65</v>
      </c>
      <c r="I232" s="27"/>
      <c r="J232" s="13">
        <f>H232*I232</f>
        <v>0</v>
      </c>
    </row>
    <row r="233" spans="1:10" ht="12" customHeight="1">
      <c r="A233" s="13" t="s">
        <v>7787</v>
      </c>
      <c r="B233" s="13" t="s">
        <v>7788</v>
      </c>
      <c r="C233" s="13" t="s">
        <v>243</v>
      </c>
      <c r="D233" s="13" t="s">
        <v>7728</v>
      </c>
      <c r="E233" s="13" t="s">
        <v>93</v>
      </c>
      <c r="F233" s="13" t="s">
        <v>7789</v>
      </c>
      <c r="G233" s="20" t="str">
        <f>HYPERLINK("http://www.semena-nn.ru/catalog/25/112011","Фото")</f>
        <v>Фото</v>
      </c>
      <c r="H233" s="18">
        <v>44.3</v>
      </c>
      <c r="I233" s="27"/>
      <c r="J233" s="13">
        <f>H233*I233</f>
        <v>0</v>
      </c>
    </row>
    <row r="234" spans="1:10" ht="12" customHeight="1">
      <c r="A234" s="13" t="s">
        <v>860</v>
      </c>
      <c r="B234" s="13" t="s">
        <v>861</v>
      </c>
      <c r="C234" s="13" t="s">
        <v>243</v>
      </c>
      <c r="D234" s="13" t="s">
        <v>697</v>
      </c>
      <c r="E234" s="13" t="s">
        <v>93</v>
      </c>
      <c r="F234" s="13" t="s">
        <v>862</v>
      </c>
      <c r="G234" s="20" t="str">
        <f>HYPERLINK("http://www.semena-nn.ru/catalog/25/1311038","Фото")</f>
        <v>Фото</v>
      </c>
      <c r="H234" s="18">
        <v>50.9</v>
      </c>
      <c r="I234" s="27"/>
      <c r="J234" s="13">
        <f>H234*I234</f>
        <v>0</v>
      </c>
    </row>
    <row r="235" spans="1:10" ht="12" customHeight="1">
      <c r="A235" s="13" t="s">
        <v>7790</v>
      </c>
      <c r="B235" s="13" t="s">
        <v>7791</v>
      </c>
      <c r="C235" s="13" t="s">
        <v>243</v>
      </c>
      <c r="D235" s="13" t="s">
        <v>7728</v>
      </c>
      <c r="E235" s="13" t="s">
        <v>93</v>
      </c>
      <c r="F235" s="13" t="s">
        <v>7792</v>
      </c>
      <c r="G235" s="20" t="str">
        <f>HYPERLINK("http://www.semena-nn.ru/catalog/25/1125482","Фото")</f>
        <v>Фото</v>
      </c>
      <c r="H235" s="19">
        <v>23.85</v>
      </c>
      <c r="I235" s="27"/>
      <c r="J235" s="13">
        <f>H235*I235</f>
        <v>0</v>
      </c>
    </row>
    <row r="236" spans="1:10" ht="12" customHeight="1">
      <c r="A236" s="13" t="s">
        <v>2683</v>
      </c>
      <c r="B236" s="13" t="s">
        <v>2684</v>
      </c>
      <c r="C236" s="13" t="s">
        <v>243</v>
      </c>
      <c r="D236" s="13" t="s">
        <v>697</v>
      </c>
      <c r="E236" s="13" t="s">
        <v>2636</v>
      </c>
      <c r="F236" s="13" t="s">
        <v>2685</v>
      </c>
      <c r="G236" s="20" t="str">
        <f>HYPERLINK("https://semena-nn.ru/catalog/25/93025","Фото")</f>
        <v>Фото</v>
      </c>
      <c r="H236" s="18">
        <v>10.199999999999999</v>
      </c>
      <c r="I236" s="27"/>
      <c r="J236" s="13">
        <f>H236*I236</f>
        <v>0</v>
      </c>
    </row>
    <row r="237" spans="1:10" ht="12" customHeight="1">
      <c r="A237" s="13" t="s">
        <v>863</v>
      </c>
      <c r="B237" s="13" t="s">
        <v>864</v>
      </c>
      <c r="C237" s="13" t="s">
        <v>243</v>
      </c>
      <c r="D237" s="13" t="s">
        <v>697</v>
      </c>
      <c r="E237" s="13" t="s">
        <v>93</v>
      </c>
      <c r="F237" s="13" t="s">
        <v>865</v>
      </c>
      <c r="G237" s="20" t="str">
        <f>HYPERLINK("http://www.semena-nn.ru/catalog/25/1299527","Фото")</f>
        <v>Фото</v>
      </c>
      <c r="H237" s="18">
        <v>27.2</v>
      </c>
      <c r="I237" s="27"/>
      <c r="J237" s="13">
        <f>H237*I237</f>
        <v>0</v>
      </c>
    </row>
    <row r="238" spans="1:10" ht="12" customHeight="1">
      <c r="A238" s="13" t="s">
        <v>8496</v>
      </c>
      <c r="B238" s="13" t="s">
        <v>8497</v>
      </c>
      <c r="C238" s="13" t="s">
        <v>243</v>
      </c>
      <c r="D238" s="13" t="s">
        <v>8498</v>
      </c>
      <c r="E238" s="13" t="s">
        <v>93</v>
      </c>
      <c r="F238" s="13" t="s">
        <v>8499</v>
      </c>
      <c r="G238" s="20" t="str">
        <f>HYPERLINK("http://semena-nn.ru/catalog/2/25/big_1292074.jpg","Фото")</f>
        <v>Фото</v>
      </c>
      <c r="H238" s="18">
        <v>41.5</v>
      </c>
      <c r="I238" s="27"/>
      <c r="J238" s="13">
        <f>H238*I238</f>
        <v>0</v>
      </c>
    </row>
    <row r="239" spans="1:10" ht="12" customHeight="1">
      <c r="A239" s="13" t="s">
        <v>3540</v>
      </c>
      <c r="B239" s="13" t="s">
        <v>3541</v>
      </c>
      <c r="C239" s="13" t="s">
        <v>243</v>
      </c>
      <c r="D239" s="13" t="s">
        <v>3475</v>
      </c>
      <c r="E239" s="13" t="s">
        <v>93</v>
      </c>
      <c r="F239" s="13" t="s">
        <v>3542</v>
      </c>
      <c r="G239" s="20" t="str">
        <f>HYPERLINK("https://semena-nn.ru/catalog/25/1308395","Фото")</f>
        <v>Фото</v>
      </c>
      <c r="H239" s="18">
        <v>29.5</v>
      </c>
      <c r="I239" s="27"/>
      <c r="J239" s="13">
        <f>H239*I239</f>
        <v>0</v>
      </c>
    </row>
    <row r="240" spans="1:10" ht="12" customHeight="1">
      <c r="A240" s="13" t="s">
        <v>6947</v>
      </c>
      <c r="B240" s="13" t="s">
        <v>6948</v>
      </c>
      <c r="C240" s="13" t="s">
        <v>243</v>
      </c>
      <c r="D240" s="13" t="s">
        <v>6927</v>
      </c>
      <c r="E240" s="13" t="s">
        <v>93</v>
      </c>
      <c r="F240" s="17" t="s">
        <v>6949</v>
      </c>
      <c r="G240" s="20" t="str">
        <f>HYPERLINK("https://semena-nn.ru/catalog/25/888000007568","Фото")</f>
        <v>Фото</v>
      </c>
      <c r="H240" s="19">
        <v>44.05</v>
      </c>
      <c r="I240" s="27"/>
      <c r="J240" s="13">
        <f>H240*I240</f>
        <v>0</v>
      </c>
    </row>
    <row r="241" spans="1:10" ht="12" customHeight="1">
      <c r="A241" s="13" t="s">
        <v>866</v>
      </c>
      <c r="B241" s="13" t="s">
        <v>867</v>
      </c>
      <c r="C241" s="13" t="s">
        <v>243</v>
      </c>
      <c r="D241" s="13" t="s">
        <v>697</v>
      </c>
      <c r="E241" s="13" t="s">
        <v>93</v>
      </c>
      <c r="F241" s="13" t="s">
        <v>868</v>
      </c>
      <c r="G241" s="20" t="str">
        <f>HYPERLINK("https://semena-nn.ru/catalog/25/888000001486","Фото")</f>
        <v>Фото</v>
      </c>
      <c r="H241" s="18">
        <v>37.9</v>
      </c>
      <c r="I241" s="27"/>
      <c r="J241" s="13">
        <f>H241*I241</f>
        <v>0</v>
      </c>
    </row>
    <row r="242" spans="1:10" ht="12" customHeight="1">
      <c r="A242" s="13" t="s">
        <v>3101</v>
      </c>
      <c r="B242" s="13" t="s">
        <v>3102</v>
      </c>
      <c r="C242" s="13" t="s">
        <v>243</v>
      </c>
      <c r="D242" s="13" t="s">
        <v>697</v>
      </c>
      <c r="E242" s="13" t="s">
        <v>3064</v>
      </c>
      <c r="F242" s="13" t="s">
        <v>3103</v>
      </c>
      <c r="G242" s="20" t="str">
        <f>HYPERLINK("https://semena-nn.ru/catalog/25/1298429","Фото")</f>
        <v>Фото</v>
      </c>
      <c r="H242" s="19">
        <v>12.05</v>
      </c>
      <c r="I242" s="27"/>
      <c r="J242" s="13">
        <f>H242*I242</f>
        <v>0</v>
      </c>
    </row>
    <row r="243" spans="1:10" ht="12" customHeight="1">
      <c r="A243" s="13" t="s">
        <v>2686</v>
      </c>
      <c r="B243" s="13" t="s">
        <v>2687</v>
      </c>
      <c r="C243" s="13" t="s">
        <v>243</v>
      </c>
      <c r="D243" s="13" t="s">
        <v>697</v>
      </c>
      <c r="E243" s="13" t="s">
        <v>2636</v>
      </c>
      <c r="F243" s="13" t="s">
        <v>2688</v>
      </c>
      <c r="G243" s="20" t="str">
        <f>HYPERLINK("http://semena-nn.ru/catalog/25/3130","Фото")</f>
        <v>Фото</v>
      </c>
      <c r="H243" s="18">
        <v>7.9</v>
      </c>
      <c r="I243" s="27"/>
      <c r="J243" s="13">
        <f>H243*I243</f>
        <v>0</v>
      </c>
    </row>
    <row r="244" spans="1:10" ht="12" customHeight="1">
      <c r="A244" s="13" t="s">
        <v>869</v>
      </c>
      <c r="B244" s="13" t="s">
        <v>870</v>
      </c>
      <c r="C244" s="13" t="s">
        <v>243</v>
      </c>
      <c r="D244" s="13" t="s">
        <v>697</v>
      </c>
      <c r="E244" s="13" t="s">
        <v>93</v>
      </c>
      <c r="F244" s="13" t="s">
        <v>871</v>
      </c>
      <c r="G244" s="20" t="str">
        <f>HYPERLINK("https://semena-nn.ru/catalog/25/1311039","Фото")</f>
        <v>Фото</v>
      </c>
      <c r="H244" s="18">
        <v>48.5</v>
      </c>
      <c r="I244" s="27"/>
      <c r="J244" s="13">
        <f>H244*I244</f>
        <v>0</v>
      </c>
    </row>
    <row r="245" spans="1:10" ht="12" customHeight="1">
      <c r="A245" s="13" t="s">
        <v>7793</v>
      </c>
      <c r="B245" s="13" t="s">
        <v>7794</v>
      </c>
      <c r="C245" s="13" t="s">
        <v>243</v>
      </c>
      <c r="D245" s="13" t="s">
        <v>7728</v>
      </c>
      <c r="E245" s="13" t="s">
        <v>93</v>
      </c>
      <c r="F245" s="13" t="s">
        <v>7795</v>
      </c>
      <c r="G245" s="20" t="str">
        <f>HYPERLINK("https://semena-nn.ru/catalog/25/107097","Фото")</f>
        <v>Фото</v>
      </c>
      <c r="H245" s="19">
        <v>21.75</v>
      </c>
      <c r="I245" s="27"/>
      <c r="J245" s="13">
        <f>H245*I245</f>
        <v>0</v>
      </c>
    </row>
    <row r="246" spans="1:10" ht="12" customHeight="1">
      <c r="A246" s="13" t="s">
        <v>6433</v>
      </c>
      <c r="B246" s="13" t="s">
        <v>6434</v>
      </c>
      <c r="C246" s="13" t="s">
        <v>243</v>
      </c>
      <c r="D246" s="13" t="s">
        <v>87</v>
      </c>
      <c r="E246" s="13" t="s">
        <v>93</v>
      </c>
      <c r="F246" s="13" t="s">
        <v>6435</v>
      </c>
      <c r="G246" s="20" t="str">
        <f>HYPERLINK("https://semena-nn.ru/catalog/25/96277","Фото")</f>
        <v>Фото</v>
      </c>
      <c r="H246" s="18">
        <v>20.7</v>
      </c>
      <c r="I246" s="27"/>
      <c r="J246" s="13">
        <f>H246*I246</f>
        <v>0</v>
      </c>
    </row>
    <row r="247" spans="1:10" ht="12" customHeight="1">
      <c r="A247" s="13" t="s">
        <v>6436</v>
      </c>
      <c r="B247" s="13" t="s">
        <v>6437</v>
      </c>
      <c r="C247" s="13" t="s">
        <v>243</v>
      </c>
      <c r="D247" s="13" t="s">
        <v>87</v>
      </c>
      <c r="E247" s="13" t="s">
        <v>93</v>
      </c>
      <c r="F247" s="13" t="s">
        <v>6438</v>
      </c>
      <c r="G247" s="20" t="str">
        <f>HYPERLINK("https://semena-nn.ru/catalog/25/1125807","Фото")</f>
        <v>Фото</v>
      </c>
      <c r="H247" s="18">
        <v>25.2</v>
      </c>
      <c r="I247" s="27"/>
      <c r="J247" s="13">
        <f>H247*I247</f>
        <v>0</v>
      </c>
    </row>
    <row r="248" spans="1:10" ht="12" customHeight="1">
      <c r="A248" s="13" t="s">
        <v>872</v>
      </c>
      <c r="B248" s="13" t="s">
        <v>873</v>
      </c>
      <c r="C248" s="13" t="s">
        <v>243</v>
      </c>
      <c r="D248" s="13" t="s">
        <v>697</v>
      </c>
      <c r="E248" s="13" t="s">
        <v>93</v>
      </c>
      <c r="F248" s="13" t="s">
        <v>874</v>
      </c>
      <c r="G248" s="20" t="str">
        <f>HYPERLINK("https://semena-nn.ru/catalog/25/999000012619","Фото")</f>
        <v>Фото</v>
      </c>
      <c r="H248" s="18">
        <v>17.8</v>
      </c>
      <c r="I248" s="27"/>
      <c r="J248" s="13">
        <f>H248*I248</f>
        <v>0</v>
      </c>
    </row>
    <row r="249" spans="1:10" ht="12" customHeight="1">
      <c r="A249" s="13" t="s">
        <v>875</v>
      </c>
      <c r="B249" s="13" t="s">
        <v>876</v>
      </c>
      <c r="C249" s="13" t="s">
        <v>243</v>
      </c>
      <c r="D249" s="13" t="s">
        <v>697</v>
      </c>
      <c r="E249" s="13" t="s">
        <v>93</v>
      </c>
      <c r="F249" s="13" t="s">
        <v>877</v>
      </c>
      <c r="G249" s="20" t="str">
        <f>HYPERLINK("https://semena-nn.ru/catalog/25/888000000899","Фото")</f>
        <v>Фото</v>
      </c>
      <c r="H249" s="18">
        <v>47.8</v>
      </c>
      <c r="I249" s="27"/>
      <c r="J249" s="13">
        <f>H249*I249</f>
        <v>0</v>
      </c>
    </row>
    <row r="250" spans="1:10" ht="12" customHeight="1">
      <c r="A250" s="13" t="s">
        <v>7796</v>
      </c>
      <c r="B250" s="13" t="s">
        <v>7797</v>
      </c>
      <c r="C250" s="13" t="s">
        <v>243</v>
      </c>
      <c r="D250" s="13" t="s">
        <v>7728</v>
      </c>
      <c r="E250" s="13" t="s">
        <v>93</v>
      </c>
      <c r="F250" s="13" t="s">
        <v>7798</v>
      </c>
      <c r="G250" s="20" t="str">
        <f>HYPERLINK("https://semena-nn.ru/catalog/25/1306690","Фото")</f>
        <v>Фото</v>
      </c>
      <c r="H250" s="18">
        <v>46.1</v>
      </c>
      <c r="I250" s="27"/>
      <c r="J250" s="13">
        <f>H250*I250</f>
        <v>0</v>
      </c>
    </row>
    <row r="251" spans="1:10" ht="12" customHeight="1">
      <c r="A251" s="13" t="s">
        <v>878</v>
      </c>
      <c r="B251" s="13" t="s">
        <v>879</v>
      </c>
      <c r="C251" s="13" t="s">
        <v>243</v>
      </c>
      <c r="D251" s="13" t="s">
        <v>697</v>
      </c>
      <c r="E251" s="13" t="s">
        <v>93</v>
      </c>
      <c r="F251" s="13" t="s">
        <v>880</v>
      </c>
      <c r="G251" s="20" t="str">
        <f>HYPERLINK("http://semena-nn.ru/catalog/2/25/big_106006.jpg","Фото")</f>
        <v>Фото</v>
      </c>
      <c r="H251" s="18">
        <v>20.100000000000001</v>
      </c>
      <c r="I251" s="27"/>
      <c r="J251" s="13">
        <f>H251*I251</f>
        <v>0</v>
      </c>
    </row>
    <row r="252" spans="1:10" ht="12" customHeight="1">
      <c r="A252" s="13" t="s">
        <v>881</v>
      </c>
      <c r="B252" s="13" t="s">
        <v>882</v>
      </c>
      <c r="C252" s="13" t="s">
        <v>243</v>
      </c>
      <c r="D252" s="13" t="s">
        <v>697</v>
      </c>
      <c r="E252" s="13" t="s">
        <v>93</v>
      </c>
      <c r="F252" s="13" t="s">
        <v>883</v>
      </c>
      <c r="G252" s="20" t="str">
        <f>HYPERLINK("http://semena-nn.ru/catalog/25/1282680","Фото")</f>
        <v>Фото</v>
      </c>
      <c r="H252" s="19">
        <v>19.649999999999999</v>
      </c>
      <c r="I252" s="27"/>
      <c r="J252" s="13">
        <f>H252*I252</f>
        <v>0</v>
      </c>
    </row>
    <row r="253" spans="1:10" ht="12" customHeight="1">
      <c r="A253" s="13" t="s">
        <v>248</v>
      </c>
      <c r="B253" s="13" t="s">
        <v>249</v>
      </c>
      <c r="C253" s="13" t="s">
        <v>243</v>
      </c>
      <c r="D253" s="13" t="s">
        <v>28</v>
      </c>
      <c r="E253" s="13" t="s">
        <v>93</v>
      </c>
      <c r="F253" s="13" t="s">
        <v>250</v>
      </c>
      <c r="G253" s="20" t="str">
        <f>HYPERLINK("https://semena-nn.ru/catalog/25/999000009662","Фото")</f>
        <v>Фото</v>
      </c>
      <c r="H253" s="19">
        <v>23.84</v>
      </c>
      <c r="I253" s="27"/>
      <c r="J253" s="13">
        <f>H253*I253</f>
        <v>0</v>
      </c>
    </row>
    <row r="254" spans="1:10" ht="12" customHeight="1">
      <c r="A254" s="13" t="s">
        <v>884</v>
      </c>
      <c r="B254" s="13" t="s">
        <v>885</v>
      </c>
      <c r="C254" s="13" t="s">
        <v>243</v>
      </c>
      <c r="D254" s="13" t="s">
        <v>697</v>
      </c>
      <c r="E254" s="13" t="s">
        <v>93</v>
      </c>
      <c r="F254" s="13" t="s">
        <v>886</v>
      </c>
      <c r="G254" s="20" t="str">
        <f>HYPERLINK("https://semena-nn.ru/catalog/25/888000007976","Фото")</f>
        <v>Фото</v>
      </c>
      <c r="H254" s="18">
        <v>18.7</v>
      </c>
      <c r="I254" s="27"/>
      <c r="J254" s="13">
        <f>H254*I254</f>
        <v>0</v>
      </c>
    </row>
    <row r="255" spans="1:10" ht="12" customHeight="1">
      <c r="A255" s="13" t="s">
        <v>251</v>
      </c>
      <c r="B255" s="13" t="s">
        <v>252</v>
      </c>
      <c r="C255" s="13" t="s">
        <v>243</v>
      </c>
      <c r="D255" s="13" t="s">
        <v>28</v>
      </c>
      <c r="E255" s="13" t="s">
        <v>93</v>
      </c>
      <c r="F255" s="13" t="s">
        <v>253</v>
      </c>
      <c r="G255" s="20" t="str">
        <f>HYPERLINK("https://semena-nn.ru/catalog/25/999000010028","Фото")</f>
        <v>Фото</v>
      </c>
      <c r="H255" s="19">
        <v>23.84</v>
      </c>
      <c r="I255" s="27"/>
      <c r="J255" s="13">
        <f>H255*I255</f>
        <v>0</v>
      </c>
    </row>
    <row r="256" spans="1:10" ht="12" customHeight="1">
      <c r="A256" s="13" t="s">
        <v>3104</v>
      </c>
      <c r="B256" s="13" t="s">
        <v>3105</v>
      </c>
      <c r="C256" s="13" t="s">
        <v>243</v>
      </c>
      <c r="D256" s="13" t="s">
        <v>697</v>
      </c>
      <c r="E256" s="13" t="s">
        <v>3064</v>
      </c>
      <c r="F256" s="13" t="s">
        <v>3106</v>
      </c>
      <c r="G256" s="20" t="str">
        <f>HYPERLINK("http://www.semena-nn.ru/catalog/25/1298431","Фото")</f>
        <v>Фото</v>
      </c>
      <c r="H256" s="19">
        <v>12.65</v>
      </c>
      <c r="I256" s="27"/>
      <c r="J256" s="13">
        <f>H256*I256</f>
        <v>0</v>
      </c>
    </row>
    <row r="257" spans="1:10" ht="12" customHeight="1">
      <c r="A257" s="13" t="s">
        <v>3543</v>
      </c>
      <c r="B257" s="13" t="s">
        <v>3544</v>
      </c>
      <c r="C257" s="13" t="s">
        <v>243</v>
      </c>
      <c r="D257" s="13" t="s">
        <v>3475</v>
      </c>
      <c r="E257" s="13" t="s">
        <v>93</v>
      </c>
      <c r="F257" s="13" t="s">
        <v>3545</v>
      </c>
      <c r="G257" s="20" t="str">
        <f>HYPERLINK("https://semena-nn.ru/catalog/25/1116467","Фото")</f>
        <v>Фото</v>
      </c>
      <c r="H257" s="18">
        <v>18.7</v>
      </c>
      <c r="I257" s="27"/>
      <c r="J257" s="13">
        <f>H257*I257</f>
        <v>0</v>
      </c>
    </row>
    <row r="258" spans="1:10" ht="12" customHeight="1">
      <c r="A258" s="13" t="s">
        <v>887</v>
      </c>
      <c r="B258" s="13" t="s">
        <v>888</v>
      </c>
      <c r="C258" s="13" t="s">
        <v>243</v>
      </c>
      <c r="D258" s="13" t="s">
        <v>697</v>
      </c>
      <c r="E258" s="13" t="s">
        <v>93</v>
      </c>
      <c r="F258" s="13" t="s">
        <v>889</v>
      </c>
      <c r="G258" s="20" t="str">
        <f>HYPERLINK("https://semena-nn.ru/catalog/25/80792","Фото")</f>
        <v>Фото</v>
      </c>
      <c r="H258" s="15">
        <v>21</v>
      </c>
      <c r="I258" s="27"/>
      <c r="J258" s="13">
        <f>H258*I258</f>
        <v>0</v>
      </c>
    </row>
    <row r="259" spans="1:10" ht="12" customHeight="1">
      <c r="A259" s="13" t="s">
        <v>2689</v>
      </c>
      <c r="B259" s="13" t="s">
        <v>2690</v>
      </c>
      <c r="C259" s="13" t="s">
        <v>243</v>
      </c>
      <c r="D259" s="13" t="s">
        <v>697</v>
      </c>
      <c r="E259" s="13" t="s">
        <v>2636</v>
      </c>
      <c r="F259" s="13" t="s">
        <v>2691</v>
      </c>
      <c r="G259" s="20" t="str">
        <f>HYPERLINK("http://www.semena-nn.ru/catalog/25/80464","Фото")</f>
        <v>Фото</v>
      </c>
      <c r="H259" s="19">
        <v>7.35</v>
      </c>
      <c r="I259" s="27"/>
      <c r="J259" s="13">
        <f>H259*I259</f>
        <v>0</v>
      </c>
    </row>
    <row r="260" spans="1:10" ht="12" customHeight="1">
      <c r="A260" s="13" t="s">
        <v>3546</v>
      </c>
      <c r="B260" s="13" t="s">
        <v>3547</v>
      </c>
      <c r="C260" s="13" t="s">
        <v>243</v>
      </c>
      <c r="D260" s="13" t="s">
        <v>3475</v>
      </c>
      <c r="E260" s="13" t="s">
        <v>93</v>
      </c>
      <c r="F260" s="13" t="s">
        <v>3548</v>
      </c>
      <c r="G260" s="20" t="str">
        <f>HYPERLINK("http://semena-nn.ru/catalog/2/25/big_1123896.jpg","Фото")</f>
        <v>Фото</v>
      </c>
      <c r="H260" s="19">
        <v>23.15</v>
      </c>
      <c r="I260" s="27"/>
      <c r="J260" s="13">
        <f>H260*I260</f>
        <v>0</v>
      </c>
    </row>
    <row r="261" spans="1:10" ht="12" customHeight="1">
      <c r="A261" s="13" t="s">
        <v>6950</v>
      </c>
      <c r="B261" s="13" t="s">
        <v>6951</v>
      </c>
      <c r="C261" s="13" t="s">
        <v>243</v>
      </c>
      <c r="D261" s="13" t="s">
        <v>6927</v>
      </c>
      <c r="E261" s="13" t="s">
        <v>93</v>
      </c>
      <c r="F261" s="13" t="s">
        <v>6952</v>
      </c>
      <c r="G261" s="20" t="str">
        <f>HYPERLINK("https://semena-nn.ru/catalog/25/999000011653","Фото")</f>
        <v>Фото</v>
      </c>
      <c r="H261" s="18">
        <v>26.4</v>
      </c>
      <c r="I261" s="27"/>
      <c r="J261" s="13">
        <f>H261*I261</f>
        <v>0</v>
      </c>
    </row>
    <row r="262" spans="1:10" ht="12" customHeight="1">
      <c r="A262" s="13" t="s">
        <v>2692</v>
      </c>
      <c r="B262" s="13" t="s">
        <v>2693</v>
      </c>
      <c r="C262" s="13" t="s">
        <v>243</v>
      </c>
      <c r="D262" s="13" t="s">
        <v>697</v>
      </c>
      <c r="E262" s="13" t="s">
        <v>2636</v>
      </c>
      <c r="F262" s="13" t="s">
        <v>2694</v>
      </c>
      <c r="G262" s="20" t="str">
        <f>HYPERLINK("https://semena-nn.ru/catalog/25/113659","Фото")</f>
        <v>Фото</v>
      </c>
      <c r="H262" s="19">
        <v>7.95</v>
      </c>
      <c r="I262" s="27"/>
      <c r="J262" s="13">
        <f>H262*I262</f>
        <v>0</v>
      </c>
    </row>
    <row r="263" spans="1:10" ht="12" customHeight="1">
      <c r="A263" s="13" t="s">
        <v>3107</v>
      </c>
      <c r="B263" s="13" t="s">
        <v>3108</v>
      </c>
      <c r="C263" s="13" t="s">
        <v>243</v>
      </c>
      <c r="D263" s="13" t="s">
        <v>697</v>
      </c>
      <c r="E263" s="13" t="s">
        <v>3064</v>
      </c>
      <c r="F263" s="13" t="s">
        <v>3109</v>
      </c>
      <c r="G263" s="20" t="str">
        <f>HYPERLINK("http://www.semena-nn.ru/catalog/25/1298433","Фото")</f>
        <v>Фото</v>
      </c>
      <c r="H263" s="19">
        <v>12.05</v>
      </c>
      <c r="I263" s="27"/>
      <c r="J263" s="13">
        <f>H263*I263</f>
        <v>0</v>
      </c>
    </row>
    <row r="264" spans="1:10" ht="12" customHeight="1">
      <c r="A264" s="13" t="s">
        <v>890</v>
      </c>
      <c r="B264" s="13" t="s">
        <v>891</v>
      </c>
      <c r="C264" s="13" t="s">
        <v>243</v>
      </c>
      <c r="D264" s="13" t="s">
        <v>697</v>
      </c>
      <c r="E264" s="13" t="s">
        <v>93</v>
      </c>
      <c r="F264" s="13" t="s">
        <v>892</v>
      </c>
      <c r="G264" s="20" t="str">
        <f>HYPERLINK("https://semena-nn.ru/catalog/25/999000012621","Фото")</f>
        <v>Фото</v>
      </c>
      <c r="H264" s="18">
        <v>47.8</v>
      </c>
      <c r="I264" s="27"/>
      <c r="J264" s="13">
        <f>H264*I264</f>
        <v>0</v>
      </c>
    </row>
    <row r="265" spans="1:10" ht="12" customHeight="1">
      <c r="A265" s="13" t="s">
        <v>893</v>
      </c>
      <c r="B265" s="13" t="s">
        <v>894</v>
      </c>
      <c r="C265" s="13" t="s">
        <v>243</v>
      </c>
      <c r="D265" s="13" t="s">
        <v>697</v>
      </c>
      <c r="E265" s="13" t="s">
        <v>93</v>
      </c>
      <c r="F265" s="13" t="s">
        <v>895</v>
      </c>
      <c r="G265" s="20" t="str">
        <f>HYPERLINK("http://semena-nn.ru/catalog/25/1309922","Фото")</f>
        <v>Фото</v>
      </c>
      <c r="H265" s="19">
        <v>19.45</v>
      </c>
      <c r="I265" s="27"/>
      <c r="J265" s="13">
        <f>H265*I265</f>
        <v>0</v>
      </c>
    </row>
    <row r="266" spans="1:10" ht="12" customHeight="1">
      <c r="A266" s="13" t="s">
        <v>3549</v>
      </c>
      <c r="B266" s="13" t="s">
        <v>3550</v>
      </c>
      <c r="C266" s="13" t="s">
        <v>243</v>
      </c>
      <c r="D266" s="13" t="s">
        <v>3475</v>
      </c>
      <c r="E266" s="13" t="s">
        <v>93</v>
      </c>
      <c r="F266" s="13" t="s">
        <v>3551</v>
      </c>
      <c r="G266" s="20" t="str">
        <f>HYPERLINK("https://semena-nn.ru/catalog/25/999000019894","Фото")</f>
        <v>Фото</v>
      </c>
      <c r="H266" s="18">
        <v>18.7</v>
      </c>
      <c r="I266" s="27"/>
      <c r="J266" s="13">
        <f>H266*I266</f>
        <v>0</v>
      </c>
    </row>
    <row r="267" spans="1:10" ht="12" customHeight="1">
      <c r="A267" s="13" t="s">
        <v>2695</v>
      </c>
      <c r="B267" s="13" t="s">
        <v>2696</v>
      </c>
      <c r="C267" s="13" t="s">
        <v>243</v>
      </c>
      <c r="D267" s="13" t="s">
        <v>697</v>
      </c>
      <c r="E267" s="13" t="s">
        <v>2636</v>
      </c>
      <c r="F267" s="13" t="s">
        <v>2697</v>
      </c>
      <c r="G267" s="20" t="str">
        <f>HYPERLINK("https://semena-nn.ru/catalog/25/3005","Фото")</f>
        <v>Фото</v>
      </c>
      <c r="H267" s="18">
        <v>11.5</v>
      </c>
      <c r="I267" s="27"/>
      <c r="J267" s="13">
        <f>H267*I267</f>
        <v>0</v>
      </c>
    </row>
    <row r="268" spans="1:10" ht="12" customHeight="1">
      <c r="A268" s="13" t="s">
        <v>5165</v>
      </c>
      <c r="B268" s="13" t="s">
        <v>5166</v>
      </c>
      <c r="C268" s="13" t="s">
        <v>208</v>
      </c>
      <c r="D268" s="13" t="s">
        <v>5136</v>
      </c>
      <c r="E268" s="13" t="s">
        <v>93</v>
      </c>
      <c r="F268" s="13" t="s">
        <v>5167</v>
      </c>
      <c r="G268" s="20" t="str">
        <f>HYPERLINK("https://semena-nn.ru/catalog/53/888000007560","Фото")</f>
        <v>Фото</v>
      </c>
      <c r="H268" s="15">
        <v>67</v>
      </c>
      <c r="I268" s="27"/>
      <c r="J268" s="13">
        <f>H268*I268</f>
        <v>0</v>
      </c>
    </row>
    <row r="269" spans="1:10" ht="12" customHeight="1">
      <c r="A269" s="13" t="s">
        <v>5168</v>
      </c>
      <c r="B269" s="13" t="s">
        <v>5169</v>
      </c>
      <c r="C269" s="13" t="s">
        <v>208</v>
      </c>
      <c r="D269" s="13" t="s">
        <v>5136</v>
      </c>
      <c r="E269" s="13" t="s">
        <v>93</v>
      </c>
      <c r="F269" s="13" t="s">
        <v>5170</v>
      </c>
      <c r="G269" s="20" t="str">
        <f>HYPERLINK("https://semena-nn.ru/catalog/53/888000000121","Фото")</f>
        <v>Фото</v>
      </c>
      <c r="H269" s="15">
        <v>67</v>
      </c>
      <c r="I269" s="27"/>
      <c r="J269" s="13">
        <f>H269*I269</f>
        <v>0</v>
      </c>
    </row>
    <row r="270" spans="1:10" ht="12" customHeight="1">
      <c r="A270" s="13" t="s">
        <v>5171</v>
      </c>
      <c r="B270" s="13" t="s">
        <v>5172</v>
      </c>
      <c r="C270" s="13" t="s">
        <v>208</v>
      </c>
      <c r="D270" s="13" t="s">
        <v>5136</v>
      </c>
      <c r="E270" s="13" t="s">
        <v>93</v>
      </c>
      <c r="F270" s="13" t="s">
        <v>5173</v>
      </c>
      <c r="G270" s="20" t="str">
        <f>HYPERLINK("https://semena-nn.ru/catalog/53/888000007561","Фото")</f>
        <v>Фото</v>
      </c>
      <c r="H270" s="15">
        <v>67</v>
      </c>
      <c r="I270" s="27"/>
      <c r="J270" s="13">
        <f>H270*I270</f>
        <v>0</v>
      </c>
    </row>
    <row r="271" spans="1:10" ht="12" customHeight="1">
      <c r="A271" s="13" t="s">
        <v>2698</v>
      </c>
      <c r="B271" s="13" t="s">
        <v>2699</v>
      </c>
      <c r="C271" s="13" t="s">
        <v>256</v>
      </c>
      <c r="D271" s="13" t="s">
        <v>697</v>
      </c>
      <c r="E271" s="13" t="s">
        <v>2636</v>
      </c>
      <c r="F271" s="13" t="s">
        <v>2700</v>
      </c>
      <c r="G271" s="20" t="str">
        <f>HYPERLINK("http://semena-nn.ru/catalog/27/3008","Фото")</f>
        <v>Фото</v>
      </c>
      <c r="H271" s="19">
        <v>6.85</v>
      </c>
      <c r="I271" s="27"/>
      <c r="J271" s="13">
        <f>H271*I271</f>
        <v>0</v>
      </c>
    </row>
    <row r="272" spans="1:10" ht="12" customHeight="1">
      <c r="A272" s="13" t="s">
        <v>5174</v>
      </c>
      <c r="B272" s="13" t="s">
        <v>5175</v>
      </c>
      <c r="C272" s="13" t="s">
        <v>256</v>
      </c>
      <c r="D272" s="13" t="s">
        <v>5136</v>
      </c>
      <c r="E272" s="13" t="s">
        <v>93</v>
      </c>
      <c r="F272" s="13" t="s">
        <v>5176</v>
      </c>
      <c r="G272" s="20" t="str">
        <f>HYPERLINK("https://semena-nn.ru/catalog/27/888000000621","Фото")</f>
        <v>Фото</v>
      </c>
      <c r="H272" s="18">
        <v>31.5</v>
      </c>
      <c r="I272" s="27"/>
      <c r="J272" s="13">
        <f>H272*I272</f>
        <v>0</v>
      </c>
    </row>
    <row r="273" spans="1:10" ht="12" customHeight="1">
      <c r="A273" s="13" t="s">
        <v>3552</v>
      </c>
      <c r="B273" s="13" t="s">
        <v>3553</v>
      </c>
      <c r="C273" s="13" t="s">
        <v>256</v>
      </c>
      <c r="D273" s="13" t="s">
        <v>3475</v>
      </c>
      <c r="E273" s="13" t="s">
        <v>93</v>
      </c>
      <c r="F273" s="13" t="s">
        <v>3554</v>
      </c>
      <c r="G273" s="20" t="str">
        <f>HYPERLINK("https://semena-nn.ru/catalog/27/1309366","Фото")</f>
        <v>Фото</v>
      </c>
      <c r="H273" s="18">
        <v>69.400000000000006</v>
      </c>
      <c r="I273" s="27"/>
      <c r="J273" s="13">
        <f>H273*I273</f>
        <v>0</v>
      </c>
    </row>
    <row r="274" spans="1:10" ht="12" customHeight="1">
      <c r="A274" s="13" t="s">
        <v>3555</v>
      </c>
      <c r="B274" s="13" t="s">
        <v>3556</v>
      </c>
      <c r="C274" s="13" t="s">
        <v>256</v>
      </c>
      <c r="D274" s="13" t="s">
        <v>3475</v>
      </c>
      <c r="E274" s="13" t="s">
        <v>93</v>
      </c>
      <c r="F274" s="13" t="s">
        <v>3557</v>
      </c>
      <c r="G274" s="20" t="str">
        <f>HYPERLINK("http://semena-nn.ru/catalog/27/109911","Фото")</f>
        <v>Фото</v>
      </c>
      <c r="H274" s="15">
        <v>65</v>
      </c>
      <c r="I274" s="27"/>
      <c r="J274" s="13">
        <f>H274*I274</f>
        <v>0</v>
      </c>
    </row>
    <row r="275" spans="1:10" ht="12" customHeight="1">
      <c r="A275" s="13" t="s">
        <v>3110</v>
      </c>
      <c r="B275" s="13" t="s">
        <v>3111</v>
      </c>
      <c r="C275" s="13" t="s">
        <v>256</v>
      </c>
      <c r="D275" s="13" t="s">
        <v>697</v>
      </c>
      <c r="E275" s="13" t="s">
        <v>3064</v>
      </c>
      <c r="F275" s="13" t="s">
        <v>3112</v>
      </c>
      <c r="G275" s="20" t="str">
        <f>HYPERLINK("https://semena-nn.ru/catalog/27/1288626","Фото")</f>
        <v>Фото</v>
      </c>
      <c r="H275" s="19">
        <v>12.05</v>
      </c>
      <c r="I275" s="27"/>
      <c r="J275" s="13">
        <f>H275*I275</f>
        <v>0</v>
      </c>
    </row>
    <row r="276" spans="1:10" ht="12" customHeight="1">
      <c r="A276" s="13" t="s">
        <v>2701</v>
      </c>
      <c r="B276" s="13" t="s">
        <v>2702</v>
      </c>
      <c r="C276" s="13" t="s">
        <v>256</v>
      </c>
      <c r="D276" s="13" t="s">
        <v>697</v>
      </c>
      <c r="E276" s="13" t="s">
        <v>2636</v>
      </c>
      <c r="F276" s="13" t="s">
        <v>2703</v>
      </c>
      <c r="G276" s="20" t="str">
        <f>HYPERLINK("https://semena-nn.ru/catalog/27/3146","Фото")</f>
        <v>Фото</v>
      </c>
      <c r="H276" s="19">
        <v>6.85</v>
      </c>
      <c r="I276" s="27"/>
      <c r="J276" s="13">
        <f>H276*I276</f>
        <v>0</v>
      </c>
    </row>
    <row r="277" spans="1:10" ht="12" customHeight="1">
      <c r="A277" s="13" t="s">
        <v>3558</v>
      </c>
      <c r="B277" s="13" t="s">
        <v>3559</v>
      </c>
      <c r="C277" s="13" t="s">
        <v>256</v>
      </c>
      <c r="D277" s="13" t="s">
        <v>3475</v>
      </c>
      <c r="E277" s="13" t="s">
        <v>93</v>
      </c>
      <c r="F277" s="13" t="s">
        <v>3560</v>
      </c>
      <c r="G277" s="20" t="str">
        <f>HYPERLINK("https://semena-nn.ru/catalog/27/1116471","Фото")</f>
        <v>Фото</v>
      </c>
      <c r="H277" s="18">
        <v>52.9</v>
      </c>
      <c r="I277" s="27"/>
      <c r="J277" s="13">
        <f>H277*I277</f>
        <v>0</v>
      </c>
    </row>
    <row r="278" spans="1:10" ht="12" customHeight="1">
      <c r="A278" s="13" t="s">
        <v>7799</v>
      </c>
      <c r="B278" s="13" t="s">
        <v>7800</v>
      </c>
      <c r="C278" s="13" t="s">
        <v>256</v>
      </c>
      <c r="D278" s="13" t="s">
        <v>7728</v>
      </c>
      <c r="E278" s="13" t="s">
        <v>93</v>
      </c>
      <c r="F278" s="13" t="s">
        <v>7801</v>
      </c>
      <c r="G278" s="20" t="str">
        <f>HYPERLINK("http://semena-nn.ru/catalog/27/100193","Фото")</f>
        <v>Фото</v>
      </c>
      <c r="H278" s="18">
        <v>53.6</v>
      </c>
      <c r="I278" s="27"/>
      <c r="J278" s="13">
        <f>H278*I278</f>
        <v>0</v>
      </c>
    </row>
    <row r="279" spans="1:10" ht="12" customHeight="1">
      <c r="A279" s="13" t="s">
        <v>7802</v>
      </c>
      <c r="B279" s="13" t="s">
        <v>7803</v>
      </c>
      <c r="C279" s="13" t="s">
        <v>256</v>
      </c>
      <c r="D279" s="13" t="s">
        <v>7728</v>
      </c>
      <c r="E279" s="13" t="s">
        <v>93</v>
      </c>
      <c r="F279" s="13" t="s">
        <v>7804</v>
      </c>
      <c r="G279" s="20" t="str">
        <f>HYPERLINK("https://semena-nn.ru/catalog/27/1125483","Фото")</f>
        <v>Фото</v>
      </c>
      <c r="H279" s="18">
        <v>22.2</v>
      </c>
      <c r="I279" s="27"/>
      <c r="J279" s="13">
        <f>H279*I279</f>
        <v>0</v>
      </c>
    </row>
    <row r="280" spans="1:10" ht="12" customHeight="1">
      <c r="A280" s="13" t="s">
        <v>6896</v>
      </c>
      <c r="B280" s="13" t="s">
        <v>6897</v>
      </c>
      <c r="C280" s="13" t="s">
        <v>256</v>
      </c>
      <c r="D280" s="13" t="s">
        <v>87</v>
      </c>
      <c r="E280" s="13" t="s">
        <v>2636</v>
      </c>
      <c r="F280" s="13" t="s">
        <v>6898</v>
      </c>
      <c r="G280" s="20" t="str">
        <f>HYPERLINK("http://semena-nn.ru/admin/catalog/1308084","Фото")</f>
        <v>Фото</v>
      </c>
      <c r="H280" s="18">
        <v>6.5</v>
      </c>
      <c r="I280" s="27"/>
      <c r="J280" s="13">
        <f>H280*I280</f>
        <v>0</v>
      </c>
    </row>
    <row r="281" spans="1:10" ht="12" customHeight="1">
      <c r="A281" s="13" t="s">
        <v>2704</v>
      </c>
      <c r="B281" s="13" t="s">
        <v>2705</v>
      </c>
      <c r="C281" s="13" t="s">
        <v>256</v>
      </c>
      <c r="D281" s="13" t="s">
        <v>697</v>
      </c>
      <c r="E281" s="13" t="s">
        <v>2636</v>
      </c>
      <c r="F281" s="13" t="s">
        <v>2706</v>
      </c>
      <c r="G281" s="20" t="str">
        <f>HYPERLINK("http://semena-nn.ru/catalog/27/80405","Фото")</f>
        <v>Фото</v>
      </c>
      <c r="H281" s="19">
        <v>6.85</v>
      </c>
      <c r="I281" s="27"/>
      <c r="J281" s="13">
        <f>H281*I281</f>
        <v>0</v>
      </c>
    </row>
    <row r="282" spans="1:10" ht="12" customHeight="1">
      <c r="A282" s="13" t="s">
        <v>3113</v>
      </c>
      <c r="B282" s="13" t="s">
        <v>3114</v>
      </c>
      <c r="C282" s="13" t="s">
        <v>256</v>
      </c>
      <c r="D282" s="13" t="s">
        <v>697</v>
      </c>
      <c r="E282" s="13" t="s">
        <v>3064</v>
      </c>
      <c r="F282" s="13" t="s">
        <v>3115</v>
      </c>
      <c r="G282" s="20" t="str">
        <f>HYPERLINK("http://semena-nn.ru/catalog/2/27/big_1287458.jpg","Фото")</f>
        <v>Фото</v>
      </c>
      <c r="H282" s="19">
        <v>12.65</v>
      </c>
      <c r="I282" s="27"/>
      <c r="J282" s="13">
        <f>H282*I282</f>
        <v>0</v>
      </c>
    </row>
    <row r="283" spans="1:10" ht="12" customHeight="1">
      <c r="A283" s="13" t="s">
        <v>7175</v>
      </c>
      <c r="B283" s="13" t="s">
        <v>7176</v>
      </c>
      <c r="C283" s="13" t="s">
        <v>256</v>
      </c>
      <c r="D283" s="13" t="s">
        <v>7148</v>
      </c>
      <c r="E283" s="13" t="s">
        <v>93</v>
      </c>
      <c r="F283" s="13" t="s">
        <v>7177</v>
      </c>
      <c r="G283" s="20" t="str">
        <f>HYPERLINK("https://semena-nn.ru/catalog/27/1314867","Фото")</f>
        <v>Фото</v>
      </c>
      <c r="H283" s="18">
        <v>85.7</v>
      </c>
      <c r="I283" s="27"/>
      <c r="J283" s="13">
        <f>H283*I283</f>
        <v>0</v>
      </c>
    </row>
    <row r="284" spans="1:10" ht="12" customHeight="1">
      <c r="A284" s="13" t="s">
        <v>7178</v>
      </c>
      <c r="B284" s="13" t="s">
        <v>7179</v>
      </c>
      <c r="C284" s="13" t="s">
        <v>256</v>
      </c>
      <c r="D284" s="13" t="s">
        <v>7148</v>
      </c>
      <c r="E284" s="13" t="s">
        <v>93</v>
      </c>
      <c r="F284" s="13" t="s">
        <v>7180</v>
      </c>
      <c r="G284" s="20" t="str">
        <f>HYPERLINK("https://semena-nn.ru/catalog/27/999000008546","Фото")</f>
        <v>Фото</v>
      </c>
      <c r="H284" s="18">
        <v>85.7</v>
      </c>
      <c r="I284" s="27"/>
      <c r="J284" s="13">
        <f>H284*I284</f>
        <v>0</v>
      </c>
    </row>
    <row r="285" spans="1:10" ht="12" customHeight="1">
      <c r="A285" s="13" t="s">
        <v>896</v>
      </c>
      <c r="B285" s="13" t="s">
        <v>897</v>
      </c>
      <c r="C285" s="13" t="s">
        <v>256</v>
      </c>
      <c r="D285" s="13" t="s">
        <v>697</v>
      </c>
      <c r="E285" s="13" t="s">
        <v>93</v>
      </c>
      <c r="F285" s="13" t="s">
        <v>898</v>
      </c>
      <c r="G285" s="20" t="str">
        <f>HYPERLINK("https://semena-nn.ru/catalog/27/888000000855","Фото")</f>
        <v>Фото</v>
      </c>
      <c r="H285" s="18">
        <v>17.8</v>
      </c>
      <c r="I285" s="27"/>
      <c r="J285" s="13">
        <f>H285*I285</f>
        <v>0</v>
      </c>
    </row>
    <row r="286" spans="1:10" ht="12" customHeight="1">
      <c r="A286" s="13" t="s">
        <v>3561</v>
      </c>
      <c r="B286" s="13" t="s">
        <v>3562</v>
      </c>
      <c r="C286" s="13" t="s">
        <v>256</v>
      </c>
      <c r="D286" s="13" t="s">
        <v>3475</v>
      </c>
      <c r="E286" s="13" t="s">
        <v>93</v>
      </c>
      <c r="F286" s="13" t="s">
        <v>3563</v>
      </c>
      <c r="G286" s="20" t="str">
        <f>HYPERLINK("https://semena-nn.ru/catalog/27/999000005679","Фото")</f>
        <v>Фото</v>
      </c>
      <c r="H286" s="18">
        <v>50.7</v>
      </c>
      <c r="I286" s="27"/>
      <c r="J286" s="13">
        <f>H286*I286</f>
        <v>0</v>
      </c>
    </row>
    <row r="287" spans="1:10" ht="12" customHeight="1">
      <c r="A287" s="13" t="s">
        <v>7181</v>
      </c>
      <c r="B287" s="13" t="s">
        <v>7182</v>
      </c>
      <c r="C287" s="13" t="s">
        <v>256</v>
      </c>
      <c r="D287" s="13" t="s">
        <v>7148</v>
      </c>
      <c r="E287" s="13" t="s">
        <v>93</v>
      </c>
      <c r="F287" s="13" t="s">
        <v>7183</v>
      </c>
      <c r="G287" s="20" t="str">
        <f>HYPERLINK("https://semena-nn.ru/catalog/27/999000005857","Фото")</f>
        <v>Фото</v>
      </c>
      <c r="H287" s="18">
        <v>85.7</v>
      </c>
      <c r="I287" s="27"/>
      <c r="J287" s="13">
        <f>H287*I287</f>
        <v>0</v>
      </c>
    </row>
    <row r="288" spans="1:10" ht="12" customHeight="1">
      <c r="A288" s="13" t="s">
        <v>3564</v>
      </c>
      <c r="B288" s="13" t="s">
        <v>3565</v>
      </c>
      <c r="C288" s="13" t="s">
        <v>256</v>
      </c>
      <c r="D288" s="13" t="s">
        <v>3475</v>
      </c>
      <c r="E288" s="13" t="s">
        <v>93</v>
      </c>
      <c r="F288" s="13" t="s">
        <v>3566</v>
      </c>
      <c r="G288" s="20" t="str">
        <f>HYPERLINK("http://semena-nn.ru/catalog/27/1282619","Фото")</f>
        <v>Фото</v>
      </c>
      <c r="H288" s="15">
        <v>20</v>
      </c>
      <c r="I288" s="27"/>
      <c r="J288" s="13">
        <f>H288*I288</f>
        <v>0</v>
      </c>
    </row>
    <row r="289" spans="1:10" ht="12" customHeight="1">
      <c r="A289" s="13" t="s">
        <v>3567</v>
      </c>
      <c r="B289" s="13" t="s">
        <v>3568</v>
      </c>
      <c r="C289" s="13" t="s">
        <v>256</v>
      </c>
      <c r="D289" s="13" t="s">
        <v>3475</v>
      </c>
      <c r="E289" s="13" t="s">
        <v>93</v>
      </c>
      <c r="F289" s="13" t="s">
        <v>3569</v>
      </c>
      <c r="G289" s="20" t="str">
        <f>HYPERLINK("http://semena-nn.ru/catalog/27/1304438","Фото")</f>
        <v>Фото</v>
      </c>
      <c r="H289" s="15">
        <v>48</v>
      </c>
      <c r="I289" s="27"/>
      <c r="J289" s="13">
        <f>H289*I289</f>
        <v>0</v>
      </c>
    </row>
    <row r="290" spans="1:10" ht="12" customHeight="1">
      <c r="A290" s="13" t="s">
        <v>8743</v>
      </c>
      <c r="B290" s="13" t="s">
        <v>8744</v>
      </c>
      <c r="C290" s="13" t="s">
        <v>256</v>
      </c>
      <c r="D290" s="13" t="s">
        <v>8717</v>
      </c>
      <c r="E290" s="13" t="s">
        <v>93</v>
      </c>
      <c r="F290" s="13" t="s">
        <v>8745</v>
      </c>
      <c r="G290" s="20" t="str">
        <f>HYPERLINK("https://semena-nn.ru/catalog/27/1310775","Фото")</f>
        <v>Фото</v>
      </c>
      <c r="H290" s="15">
        <v>19</v>
      </c>
      <c r="I290" s="27"/>
      <c r="J290" s="13">
        <f>H290*I290</f>
        <v>0</v>
      </c>
    </row>
    <row r="291" spans="1:10" ht="12" customHeight="1">
      <c r="A291" s="13" t="s">
        <v>8315</v>
      </c>
      <c r="B291" s="13" t="s">
        <v>8316</v>
      </c>
      <c r="C291" s="13" t="s">
        <v>256</v>
      </c>
      <c r="D291" s="13" t="s">
        <v>8317</v>
      </c>
      <c r="E291" s="13" t="s">
        <v>93</v>
      </c>
      <c r="F291" s="13" t="s">
        <v>8318</v>
      </c>
      <c r="G291" s="20" t="str">
        <f>HYPERLINK("https://semena-nn.ru/catalog/27/1298385","Фото")</f>
        <v>Фото</v>
      </c>
      <c r="H291" s="18">
        <v>55.2</v>
      </c>
      <c r="I291" s="27"/>
      <c r="J291" s="13">
        <f>H291*I291</f>
        <v>0</v>
      </c>
    </row>
    <row r="292" spans="1:10" ht="12" customHeight="1">
      <c r="A292" s="13" t="s">
        <v>5177</v>
      </c>
      <c r="B292" s="13" t="s">
        <v>5178</v>
      </c>
      <c r="C292" s="13" t="s">
        <v>256</v>
      </c>
      <c r="D292" s="13" t="s">
        <v>5136</v>
      </c>
      <c r="E292" s="13" t="s">
        <v>93</v>
      </c>
      <c r="F292" s="13" t="s">
        <v>5179</v>
      </c>
      <c r="G292" s="20" t="str">
        <f>HYPERLINK("https://semena-nn.ru/catalog/27/888000000622","Фото")</f>
        <v>Фото</v>
      </c>
      <c r="H292" s="18">
        <v>31.5</v>
      </c>
      <c r="I292" s="27"/>
      <c r="J292" s="13">
        <f>H292*I292</f>
        <v>0</v>
      </c>
    </row>
    <row r="293" spans="1:10" ht="12" customHeight="1">
      <c r="A293" s="13" t="s">
        <v>2707</v>
      </c>
      <c r="B293" s="13" t="s">
        <v>2708</v>
      </c>
      <c r="C293" s="13" t="s">
        <v>256</v>
      </c>
      <c r="D293" s="13" t="s">
        <v>697</v>
      </c>
      <c r="E293" s="13" t="s">
        <v>2636</v>
      </c>
      <c r="F293" s="13" t="s">
        <v>2709</v>
      </c>
      <c r="G293" s="20" t="str">
        <f>HYPERLINK("https://semena-nn.ru/catalog/27/93029","Фото")</f>
        <v>Фото</v>
      </c>
      <c r="H293" s="19">
        <v>6.85</v>
      </c>
      <c r="I293" s="27"/>
      <c r="J293" s="13">
        <f>H293*I293</f>
        <v>0</v>
      </c>
    </row>
    <row r="294" spans="1:10" ht="12" customHeight="1">
      <c r="A294" s="13" t="s">
        <v>3116</v>
      </c>
      <c r="B294" s="13" t="s">
        <v>3117</v>
      </c>
      <c r="C294" s="13" t="s">
        <v>256</v>
      </c>
      <c r="D294" s="13" t="s">
        <v>697</v>
      </c>
      <c r="E294" s="13" t="s">
        <v>3064</v>
      </c>
      <c r="F294" s="13" t="s">
        <v>3118</v>
      </c>
      <c r="G294" s="20" t="str">
        <f>HYPERLINK("http://semena-nn.ru/catalog/27/1288627","Фото")</f>
        <v>Фото</v>
      </c>
      <c r="H294" s="19">
        <v>12.65</v>
      </c>
      <c r="I294" s="27"/>
      <c r="J294" s="13">
        <f>H294*I294</f>
        <v>0</v>
      </c>
    </row>
    <row r="295" spans="1:10" ht="12" customHeight="1">
      <c r="A295" s="13" t="s">
        <v>899</v>
      </c>
      <c r="B295" s="13" t="s">
        <v>900</v>
      </c>
      <c r="C295" s="13" t="s">
        <v>256</v>
      </c>
      <c r="D295" s="13" t="s">
        <v>697</v>
      </c>
      <c r="E295" s="13" t="s">
        <v>93</v>
      </c>
      <c r="F295" s="13" t="s">
        <v>901</v>
      </c>
      <c r="G295" s="20" t="str">
        <f>HYPERLINK("http://semena-nn.ru/catalog/27/4005","Фото")</f>
        <v>Фото</v>
      </c>
      <c r="H295" s="18">
        <v>17.8</v>
      </c>
      <c r="I295" s="27"/>
      <c r="J295" s="13">
        <f>H295*I295</f>
        <v>0</v>
      </c>
    </row>
    <row r="296" spans="1:10" ht="12" customHeight="1">
      <c r="A296" s="13" t="s">
        <v>2710</v>
      </c>
      <c r="B296" s="13" t="s">
        <v>2711</v>
      </c>
      <c r="C296" s="13" t="s">
        <v>256</v>
      </c>
      <c r="D296" s="13" t="s">
        <v>697</v>
      </c>
      <c r="E296" s="13" t="s">
        <v>2636</v>
      </c>
      <c r="F296" s="13" t="s">
        <v>2712</v>
      </c>
      <c r="G296" s="20" t="str">
        <f>HYPERLINK("http://semena-nn.ru/catalog/27/1119664","Фото")</f>
        <v>Фото</v>
      </c>
      <c r="H296" s="18">
        <v>7.2</v>
      </c>
      <c r="I296" s="27"/>
      <c r="J296" s="13">
        <f>H296*I296</f>
        <v>0</v>
      </c>
    </row>
    <row r="297" spans="1:10" ht="12" customHeight="1">
      <c r="A297" s="13" t="s">
        <v>7184</v>
      </c>
      <c r="B297" s="13" t="s">
        <v>7185</v>
      </c>
      <c r="C297" s="13" t="s">
        <v>256</v>
      </c>
      <c r="D297" s="13" t="s">
        <v>7148</v>
      </c>
      <c r="E297" s="13" t="s">
        <v>93</v>
      </c>
      <c r="F297" s="13" t="s">
        <v>7186</v>
      </c>
      <c r="G297" s="20" t="str">
        <f>HYPERLINK("https://semena-nn.ru/catalog/27/999000008547","Фото")</f>
        <v>Фото</v>
      </c>
      <c r="H297" s="18">
        <v>89.5</v>
      </c>
      <c r="I297" s="27"/>
      <c r="J297" s="13">
        <f>H297*I297</f>
        <v>0</v>
      </c>
    </row>
    <row r="298" spans="1:10" ht="12" customHeight="1">
      <c r="A298" s="13" t="s">
        <v>8319</v>
      </c>
      <c r="B298" s="13" t="s">
        <v>8320</v>
      </c>
      <c r="C298" s="13" t="s">
        <v>256</v>
      </c>
      <c r="D298" s="13" t="s">
        <v>8317</v>
      </c>
      <c r="E298" s="13" t="s">
        <v>93</v>
      </c>
      <c r="F298" s="13" t="s">
        <v>8321</v>
      </c>
      <c r="G298" s="20" t="str">
        <f>HYPERLINK("https://semena-nn.ru/catalog/27/999000007683","Фото")</f>
        <v>Фото</v>
      </c>
      <c r="H298" s="18">
        <v>55.2</v>
      </c>
      <c r="I298" s="27"/>
      <c r="J298" s="13">
        <f>H298*I298</f>
        <v>0</v>
      </c>
    </row>
    <row r="299" spans="1:10" ht="12" customHeight="1">
      <c r="A299" s="13" t="s">
        <v>5180</v>
      </c>
      <c r="B299" s="13" t="s">
        <v>5181</v>
      </c>
      <c r="C299" s="13" t="s">
        <v>256</v>
      </c>
      <c r="D299" s="13" t="s">
        <v>5136</v>
      </c>
      <c r="E299" s="13" t="s">
        <v>93</v>
      </c>
      <c r="F299" s="13" t="s">
        <v>5182</v>
      </c>
      <c r="G299" s="20" t="str">
        <f>HYPERLINK("https://semena-nn.ru/catalog/27/888000000623","Фото")</f>
        <v>Фото</v>
      </c>
      <c r="H299" s="18">
        <v>31.5</v>
      </c>
      <c r="I299" s="27"/>
      <c r="J299" s="13">
        <f>H299*I299</f>
        <v>0</v>
      </c>
    </row>
    <row r="300" spans="1:10" ht="12" customHeight="1">
      <c r="A300" s="13" t="s">
        <v>2713</v>
      </c>
      <c r="B300" s="13" t="s">
        <v>2714</v>
      </c>
      <c r="C300" s="13" t="s">
        <v>256</v>
      </c>
      <c r="D300" s="13" t="s">
        <v>697</v>
      </c>
      <c r="E300" s="13" t="s">
        <v>2636</v>
      </c>
      <c r="F300" s="13" t="s">
        <v>2715</v>
      </c>
      <c r="G300" s="20" t="str">
        <f>HYPERLINK("http://semena-nn.ru/catalog/27/3012","Фото")</f>
        <v>Фото</v>
      </c>
      <c r="H300" s="19">
        <v>6.85</v>
      </c>
      <c r="I300" s="27"/>
      <c r="J300" s="13">
        <f>H300*I300</f>
        <v>0</v>
      </c>
    </row>
    <row r="301" spans="1:10" ht="12" customHeight="1">
      <c r="A301" s="13" t="s">
        <v>7187</v>
      </c>
      <c r="B301" s="13" t="s">
        <v>7188</v>
      </c>
      <c r="C301" s="13" t="s">
        <v>256</v>
      </c>
      <c r="D301" s="13" t="s">
        <v>7148</v>
      </c>
      <c r="E301" s="13" t="s">
        <v>93</v>
      </c>
      <c r="F301" s="13" t="s">
        <v>7189</v>
      </c>
      <c r="G301" s="20" t="str">
        <f>HYPERLINK("https://semena-nn.ru/catalog/27/999000005858","Фото")</f>
        <v>Фото</v>
      </c>
      <c r="H301" s="18">
        <v>85.7</v>
      </c>
      <c r="I301" s="27"/>
      <c r="J301" s="13">
        <f>H301*I301</f>
        <v>0</v>
      </c>
    </row>
    <row r="302" spans="1:10" ht="12" customHeight="1">
      <c r="A302" s="13" t="s">
        <v>7190</v>
      </c>
      <c r="B302" s="13" t="s">
        <v>7191</v>
      </c>
      <c r="C302" s="13" t="s">
        <v>256</v>
      </c>
      <c r="D302" s="13" t="s">
        <v>7148</v>
      </c>
      <c r="E302" s="13" t="s">
        <v>93</v>
      </c>
      <c r="F302" s="13" t="s">
        <v>7192</v>
      </c>
      <c r="G302" s="20" t="str">
        <f>HYPERLINK("https://semena-nn.ru/catalog/27/999000008548","Фото")</f>
        <v>Фото</v>
      </c>
      <c r="H302" s="18">
        <v>95.8</v>
      </c>
      <c r="I302" s="27"/>
      <c r="J302" s="13">
        <f>H302*I302</f>
        <v>0</v>
      </c>
    </row>
    <row r="303" spans="1:10" ht="12" customHeight="1">
      <c r="A303" s="13" t="s">
        <v>8322</v>
      </c>
      <c r="B303" s="13" t="s">
        <v>8323</v>
      </c>
      <c r="C303" s="13" t="s">
        <v>256</v>
      </c>
      <c r="D303" s="13" t="s">
        <v>8317</v>
      </c>
      <c r="E303" s="13" t="s">
        <v>93</v>
      </c>
      <c r="F303" s="13" t="s">
        <v>8324</v>
      </c>
      <c r="G303" s="20" t="str">
        <f>HYPERLINK("http://semena-nn.ru/catalog/27/1303296","Фото")</f>
        <v>Фото</v>
      </c>
      <c r="H303" s="18">
        <v>44.1</v>
      </c>
      <c r="I303" s="27"/>
      <c r="J303" s="13">
        <f>H303*I303</f>
        <v>0</v>
      </c>
    </row>
    <row r="304" spans="1:10" ht="12" customHeight="1">
      <c r="A304" s="13" t="s">
        <v>7193</v>
      </c>
      <c r="B304" s="13" t="s">
        <v>7194</v>
      </c>
      <c r="C304" s="13" t="s">
        <v>256</v>
      </c>
      <c r="D304" s="13" t="s">
        <v>7148</v>
      </c>
      <c r="E304" s="13" t="s">
        <v>93</v>
      </c>
      <c r="F304" s="13" t="s">
        <v>7195</v>
      </c>
      <c r="G304" s="20" t="str">
        <f>HYPERLINK("https://semena-nn.ru/catalog/27/999000013094","Фото")</f>
        <v>Фото</v>
      </c>
      <c r="H304" s="18">
        <v>55.5</v>
      </c>
      <c r="I304" s="27"/>
      <c r="J304" s="13">
        <f>H304*I304</f>
        <v>0</v>
      </c>
    </row>
    <row r="305" spans="1:10" ht="12" customHeight="1">
      <c r="A305" s="13" t="s">
        <v>2716</v>
      </c>
      <c r="B305" s="13" t="s">
        <v>2717</v>
      </c>
      <c r="C305" s="13" t="s">
        <v>256</v>
      </c>
      <c r="D305" s="13" t="s">
        <v>697</v>
      </c>
      <c r="E305" s="13" t="s">
        <v>2636</v>
      </c>
      <c r="F305" s="13" t="s">
        <v>2718</v>
      </c>
      <c r="G305" s="20" t="str">
        <f>HYPERLINK("http://semena-nn.ru/catalog/27/80409","Фото")</f>
        <v>Фото</v>
      </c>
      <c r="H305" s="18">
        <v>7.2</v>
      </c>
      <c r="I305" s="27"/>
      <c r="J305" s="13">
        <f>H305*I305</f>
        <v>0</v>
      </c>
    </row>
    <row r="306" spans="1:10" ht="12" customHeight="1">
      <c r="A306" s="13" t="s">
        <v>5010</v>
      </c>
      <c r="B306" s="13" t="s">
        <v>5011</v>
      </c>
      <c r="C306" s="13" t="s">
        <v>256</v>
      </c>
      <c r="D306" s="13" t="s">
        <v>3475</v>
      </c>
      <c r="E306" s="13" t="s">
        <v>93</v>
      </c>
      <c r="F306" s="13" t="s">
        <v>5012</v>
      </c>
      <c r="G306" s="20" t="str">
        <f>HYPERLINK("https://semena-nn.ru/catalog/27/1312968","Фото")</f>
        <v>Фото</v>
      </c>
      <c r="H306" s="19">
        <v>12.61</v>
      </c>
      <c r="I306" s="27"/>
      <c r="J306" s="13">
        <f>H306*I306</f>
        <v>0</v>
      </c>
    </row>
    <row r="307" spans="1:10" ht="12" customHeight="1">
      <c r="A307" s="13" t="s">
        <v>3119</v>
      </c>
      <c r="B307" s="13" t="s">
        <v>3120</v>
      </c>
      <c r="C307" s="13" t="s">
        <v>256</v>
      </c>
      <c r="D307" s="13" t="s">
        <v>697</v>
      </c>
      <c r="E307" s="13" t="s">
        <v>3064</v>
      </c>
      <c r="F307" s="13" t="s">
        <v>3121</v>
      </c>
      <c r="G307" s="20" t="str">
        <f>HYPERLINK("https://semena-nn.ru/catalog/27/1299515","Фото")</f>
        <v>Фото</v>
      </c>
      <c r="H307" s="19">
        <v>12.65</v>
      </c>
      <c r="I307" s="27"/>
      <c r="J307" s="13">
        <f>H307*I307</f>
        <v>0</v>
      </c>
    </row>
    <row r="308" spans="1:10" ht="12" customHeight="1">
      <c r="A308" s="13" t="s">
        <v>2719</v>
      </c>
      <c r="B308" s="13" t="s">
        <v>2720</v>
      </c>
      <c r="C308" s="13" t="s">
        <v>256</v>
      </c>
      <c r="D308" s="13" t="s">
        <v>697</v>
      </c>
      <c r="E308" s="13" t="s">
        <v>2636</v>
      </c>
      <c r="F308" s="13" t="s">
        <v>2721</v>
      </c>
      <c r="G308" s="20" t="str">
        <f>HYPERLINK("http://semena-nn.ru/catalog/27/94467","Фото")</f>
        <v>Фото</v>
      </c>
      <c r="H308" s="18">
        <v>7.2</v>
      </c>
      <c r="I308" s="27"/>
      <c r="J308" s="13">
        <f>H308*I308</f>
        <v>0</v>
      </c>
    </row>
    <row r="309" spans="1:10" ht="12" customHeight="1">
      <c r="A309" s="13" t="s">
        <v>3122</v>
      </c>
      <c r="B309" s="13" t="s">
        <v>3123</v>
      </c>
      <c r="C309" s="13" t="s">
        <v>256</v>
      </c>
      <c r="D309" s="13" t="s">
        <v>697</v>
      </c>
      <c r="E309" s="13" t="s">
        <v>3064</v>
      </c>
      <c r="F309" s="13" t="s">
        <v>3124</v>
      </c>
      <c r="G309" s="20" t="str">
        <f>HYPERLINK("http://semena-nn.ru/catalog/27/1287460","Фото")</f>
        <v>Фото</v>
      </c>
      <c r="H309" s="19">
        <v>12.65</v>
      </c>
      <c r="I309" s="27"/>
      <c r="J309" s="13">
        <f>H309*I309</f>
        <v>0</v>
      </c>
    </row>
    <row r="310" spans="1:10" ht="12" customHeight="1">
      <c r="A310" s="13" t="s">
        <v>902</v>
      </c>
      <c r="B310" s="13" t="s">
        <v>903</v>
      </c>
      <c r="C310" s="13" t="s">
        <v>256</v>
      </c>
      <c r="D310" s="13" t="s">
        <v>697</v>
      </c>
      <c r="E310" s="13" t="s">
        <v>93</v>
      </c>
      <c r="F310" s="13" t="s">
        <v>904</v>
      </c>
      <c r="G310" s="20" t="str">
        <f>HYPERLINK("http://semena-nn.ru/catalog/27/93654","Фото")</f>
        <v>Фото</v>
      </c>
      <c r="H310" s="18">
        <v>17.8</v>
      </c>
      <c r="I310" s="27"/>
      <c r="J310" s="13">
        <f>H310*I310</f>
        <v>0</v>
      </c>
    </row>
    <row r="311" spans="1:10" ht="12" customHeight="1">
      <c r="A311" s="13" t="s">
        <v>5863</v>
      </c>
      <c r="B311" s="13" t="s">
        <v>5864</v>
      </c>
      <c r="C311" s="13" t="s">
        <v>256</v>
      </c>
      <c r="D311" s="13" t="s">
        <v>5834</v>
      </c>
      <c r="E311" s="13" t="s">
        <v>93</v>
      </c>
      <c r="F311" s="13" t="s">
        <v>5865</v>
      </c>
      <c r="G311" s="20" t="str">
        <f>HYPERLINK("https://semena-nn.ru/catalog/27/888000001519","Фото")</f>
        <v>Фото</v>
      </c>
      <c r="H311" s="19">
        <v>20.48</v>
      </c>
      <c r="I311" s="27"/>
      <c r="J311" s="13">
        <f>H311*I311</f>
        <v>0</v>
      </c>
    </row>
    <row r="312" spans="1:10" ht="12" customHeight="1">
      <c r="A312" s="13" t="s">
        <v>3570</v>
      </c>
      <c r="B312" s="13" t="s">
        <v>3571</v>
      </c>
      <c r="C312" s="13" t="s">
        <v>256</v>
      </c>
      <c r="D312" s="13" t="s">
        <v>3475</v>
      </c>
      <c r="E312" s="13" t="s">
        <v>93</v>
      </c>
      <c r="F312" s="13" t="s">
        <v>3572</v>
      </c>
      <c r="G312" s="20" t="str">
        <f>HYPERLINK("http://semena-nn.ru/catalog/27/1315633","Фото")</f>
        <v>Фото</v>
      </c>
      <c r="H312" s="18">
        <v>24.7</v>
      </c>
      <c r="I312" s="27"/>
      <c r="J312" s="13">
        <f>H312*I312</f>
        <v>0</v>
      </c>
    </row>
    <row r="313" spans="1:10" ht="12" customHeight="1">
      <c r="A313" s="13" t="s">
        <v>7196</v>
      </c>
      <c r="B313" s="13" t="s">
        <v>7197</v>
      </c>
      <c r="C313" s="13" t="s">
        <v>256</v>
      </c>
      <c r="D313" s="13" t="s">
        <v>7148</v>
      </c>
      <c r="E313" s="13" t="s">
        <v>93</v>
      </c>
      <c r="F313" s="13" t="s">
        <v>7198</v>
      </c>
      <c r="G313" s="20" t="str">
        <f>HYPERLINK("https://semena-nn.ru/catalog/27/999000005859","Фото")</f>
        <v>Фото</v>
      </c>
      <c r="H313" s="18">
        <v>85.7</v>
      </c>
      <c r="I313" s="27"/>
      <c r="J313" s="13">
        <f>H313*I313</f>
        <v>0</v>
      </c>
    </row>
    <row r="314" spans="1:10" ht="12" customHeight="1">
      <c r="A314" s="13" t="s">
        <v>3573</v>
      </c>
      <c r="B314" s="13" t="s">
        <v>3574</v>
      </c>
      <c r="C314" s="13" t="s">
        <v>256</v>
      </c>
      <c r="D314" s="13" t="s">
        <v>3475</v>
      </c>
      <c r="E314" s="13" t="s">
        <v>93</v>
      </c>
      <c r="F314" s="13" t="s">
        <v>3575</v>
      </c>
      <c r="G314" s="20" t="str">
        <f>HYPERLINK("http://semena-nn.ru/catalog/2/27/big_1309061.jpg","Фото")</f>
        <v>Фото</v>
      </c>
      <c r="H314" s="18">
        <v>52.9</v>
      </c>
      <c r="I314" s="27"/>
      <c r="J314" s="13">
        <f>H314*I314</f>
        <v>0</v>
      </c>
    </row>
    <row r="315" spans="1:10" ht="12" customHeight="1">
      <c r="A315" s="13" t="s">
        <v>7199</v>
      </c>
      <c r="B315" s="13" t="s">
        <v>7200</v>
      </c>
      <c r="C315" s="13" t="s">
        <v>256</v>
      </c>
      <c r="D315" s="13" t="s">
        <v>7148</v>
      </c>
      <c r="E315" s="13" t="s">
        <v>93</v>
      </c>
      <c r="F315" s="13" t="s">
        <v>7201</v>
      </c>
      <c r="G315" s="20" t="str">
        <f>HYPERLINK("https://semena-nn.ru/catalog/27/999000007884","Фото")</f>
        <v>Фото</v>
      </c>
      <c r="H315" s="18">
        <v>55.5</v>
      </c>
      <c r="I315" s="27"/>
      <c r="J315" s="13">
        <f>H315*I315</f>
        <v>0</v>
      </c>
    </row>
    <row r="316" spans="1:10" ht="12" customHeight="1">
      <c r="A316" s="13" t="s">
        <v>3576</v>
      </c>
      <c r="B316" s="13" t="s">
        <v>3577</v>
      </c>
      <c r="C316" s="13" t="s">
        <v>256</v>
      </c>
      <c r="D316" s="13" t="s">
        <v>3475</v>
      </c>
      <c r="E316" s="13" t="s">
        <v>93</v>
      </c>
      <c r="F316" s="13" t="s">
        <v>3578</v>
      </c>
      <c r="G316" s="20" t="str">
        <f>HYPERLINK("https://semena-nn.ru/catalog/27/1307092","Фото")</f>
        <v>Фото</v>
      </c>
      <c r="H316" s="18">
        <v>50.4</v>
      </c>
      <c r="I316" s="27"/>
      <c r="J316" s="13">
        <f>H316*I316</f>
        <v>0</v>
      </c>
    </row>
    <row r="317" spans="1:10" ht="12" customHeight="1">
      <c r="A317" s="13" t="s">
        <v>905</v>
      </c>
      <c r="B317" s="13" t="s">
        <v>906</v>
      </c>
      <c r="C317" s="13" t="s">
        <v>256</v>
      </c>
      <c r="D317" s="13" t="s">
        <v>697</v>
      </c>
      <c r="E317" s="13" t="s">
        <v>93</v>
      </c>
      <c r="F317" s="13" t="s">
        <v>907</v>
      </c>
      <c r="G317" s="20" t="str">
        <f>HYPERLINK("https://semena-nn.ru/catalog/27/112999","Фото")</f>
        <v>Фото</v>
      </c>
      <c r="H317" s="19">
        <v>62.85</v>
      </c>
      <c r="I317" s="27"/>
      <c r="J317" s="13">
        <f>H317*I317</f>
        <v>0</v>
      </c>
    </row>
    <row r="318" spans="1:10" ht="12" customHeight="1">
      <c r="A318" s="13" t="s">
        <v>3579</v>
      </c>
      <c r="B318" s="13" t="s">
        <v>3580</v>
      </c>
      <c r="C318" s="13" t="s">
        <v>256</v>
      </c>
      <c r="D318" s="13" t="s">
        <v>3475</v>
      </c>
      <c r="E318" s="13" t="s">
        <v>93</v>
      </c>
      <c r="F318" s="13" t="s">
        <v>907</v>
      </c>
      <c r="G318" s="20" t="str">
        <f>HYPERLINK("https://semena-nn.ru/catalog/27/1311879","Фото")</f>
        <v>Фото</v>
      </c>
      <c r="H318" s="19">
        <v>49.35</v>
      </c>
      <c r="I318" s="27"/>
      <c r="J318" s="13">
        <f>H318*I318</f>
        <v>0</v>
      </c>
    </row>
    <row r="319" spans="1:10" ht="12" customHeight="1">
      <c r="A319" s="13" t="s">
        <v>4983</v>
      </c>
      <c r="B319" s="13" t="s">
        <v>4984</v>
      </c>
      <c r="C319" s="13" t="s">
        <v>256</v>
      </c>
      <c r="D319" s="13" t="s">
        <v>3475</v>
      </c>
      <c r="E319" s="13" t="s">
        <v>2636</v>
      </c>
      <c r="F319" s="13" t="s">
        <v>4985</v>
      </c>
      <c r="G319" s="20" t="str">
        <f>HYPERLINK("http://semena-nn.ru/catalog/27/999000006225","Фото")</f>
        <v>Фото</v>
      </c>
      <c r="H319" s="18">
        <v>5.9</v>
      </c>
      <c r="I319" s="27"/>
      <c r="J319" s="13">
        <f>H319*I319</f>
        <v>0</v>
      </c>
    </row>
    <row r="320" spans="1:10" ht="12" customHeight="1">
      <c r="A320" s="13" t="s">
        <v>3125</v>
      </c>
      <c r="B320" s="13" t="s">
        <v>3126</v>
      </c>
      <c r="C320" s="13" t="s">
        <v>256</v>
      </c>
      <c r="D320" s="13" t="s">
        <v>697</v>
      </c>
      <c r="E320" s="13" t="s">
        <v>3064</v>
      </c>
      <c r="F320" s="13" t="s">
        <v>3127</v>
      </c>
      <c r="G320" s="20" t="str">
        <f>HYPERLINK("http://semena-nn.ru/catalog/2/27/big_1287461.jpg","Фото")</f>
        <v>Фото</v>
      </c>
      <c r="H320" s="19">
        <v>12.65</v>
      </c>
      <c r="I320" s="27"/>
      <c r="J320" s="13">
        <f>H320*I320</f>
        <v>0</v>
      </c>
    </row>
    <row r="321" spans="1:10" ht="12" customHeight="1">
      <c r="A321" s="13" t="s">
        <v>8325</v>
      </c>
      <c r="B321" s="13" t="s">
        <v>8326</v>
      </c>
      <c r="C321" s="13" t="s">
        <v>256</v>
      </c>
      <c r="D321" s="13" t="s">
        <v>8317</v>
      </c>
      <c r="E321" s="13" t="s">
        <v>93</v>
      </c>
      <c r="F321" s="13" t="s">
        <v>8327</v>
      </c>
      <c r="G321" s="20" t="str">
        <f>HYPERLINK("https://semena-nn.ru/catalog/27/1305309","Фото")</f>
        <v>Фото</v>
      </c>
      <c r="H321" s="18">
        <v>55.2</v>
      </c>
      <c r="I321" s="27"/>
      <c r="J321" s="13">
        <f>H321*I321</f>
        <v>0</v>
      </c>
    </row>
    <row r="322" spans="1:10" ht="12" customHeight="1">
      <c r="A322" s="13" t="s">
        <v>7202</v>
      </c>
      <c r="B322" s="13" t="s">
        <v>7203</v>
      </c>
      <c r="C322" s="13" t="s">
        <v>256</v>
      </c>
      <c r="D322" s="13" t="s">
        <v>7148</v>
      </c>
      <c r="E322" s="13" t="s">
        <v>93</v>
      </c>
      <c r="F322" s="13" t="s">
        <v>7204</v>
      </c>
      <c r="G322" s="20" t="str">
        <f>HYPERLINK("http://semena-nn.ru/catalog/27/1314181","Фото")</f>
        <v>Фото</v>
      </c>
      <c r="H322" s="18">
        <v>85.7</v>
      </c>
      <c r="I322" s="27"/>
      <c r="J322" s="13">
        <f>H322*I322</f>
        <v>0</v>
      </c>
    </row>
    <row r="323" spans="1:10" ht="12" customHeight="1">
      <c r="A323" s="13" t="s">
        <v>5866</v>
      </c>
      <c r="B323" s="13" t="s">
        <v>5867</v>
      </c>
      <c r="C323" s="13" t="s">
        <v>256</v>
      </c>
      <c r="D323" s="13" t="s">
        <v>5834</v>
      </c>
      <c r="E323" s="13" t="s">
        <v>93</v>
      </c>
      <c r="F323" s="13" t="s">
        <v>5868</v>
      </c>
      <c r="G323" s="20" t="str">
        <f>HYPERLINK("https://semena-nn.ru/catalog/27/888000001520","Фото")</f>
        <v>Фото</v>
      </c>
      <c r="H323" s="18">
        <v>31.5</v>
      </c>
      <c r="I323" s="27"/>
      <c r="J323" s="13">
        <f>H323*I323</f>
        <v>0</v>
      </c>
    </row>
    <row r="324" spans="1:10" ht="12" customHeight="1">
      <c r="A324" s="13" t="s">
        <v>8746</v>
      </c>
      <c r="B324" s="13" t="s">
        <v>8747</v>
      </c>
      <c r="C324" s="13" t="s">
        <v>256</v>
      </c>
      <c r="D324" s="13" t="s">
        <v>8717</v>
      </c>
      <c r="E324" s="13" t="s">
        <v>93</v>
      </c>
      <c r="F324" s="13" t="s">
        <v>8748</v>
      </c>
      <c r="G324" s="20" t="str">
        <f>HYPERLINK("http://semena-nn.ru/catalog/27/493","Фото")</f>
        <v>Фото</v>
      </c>
      <c r="H324" s="18">
        <v>28.3</v>
      </c>
      <c r="I324" s="27"/>
      <c r="J324" s="13">
        <f>H324*I324</f>
        <v>0</v>
      </c>
    </row>
    <row r="325" spans="1:10" ht="12" customHeight="1">
      <c r="A325" s="13" t="s">
        <v>8749</v>
      </c>
      <c r="B325" s="13" t="s">
        <v>8750</v>
      </c>
      <c r="C325" s="13" t="s">
        <v>256</v>
      </c>
      <c r="D325" s="13" t="s">
        <v>8717</v>
      </c>
      <c r="E325" s="13" t="s">
        <v>93</v>
      </c>
      <c r="F325" s="13" t="s">
        <v>8751</v>
      </c>
      <c r="G325" s="20" t="str">
        <f>HYPERLINK("http://semena-nn.ru/catalog/27/1313385","Фото")</f>
        <v>Фото</v>
      </c>
      <c r="H325" s="19">
        <v>60.65</v>
      </c>
      <c r="I325" s="27"/>
      <c r="J325" s="13">
        <f>H325*I325</f>
        <v>0</v>
      </c>
    </row>
    <row r="326" spans="1:10" ht="12" customHeight="1">
      <c r="A326" s="13" t="s">
        <v>7805</v>
      </c>
      <c r="B326" s="13" t="s">
        <v>7806</v>
      </c>
      <c r="C326" s="13" t="s">
        <v>256</v>
      </c>
      <c r="D326" s="13" t="s">
        <v>7728</v>
      </c>
      <c r="E326" s="13" t="s">
        <v>93</v>
      </c>
      <c r="F326" s="13" t="s">
        <v>7807</v>
      </c>
      <c r="G326" s="20" t="str">
        <f>HYPERLINK("https://semena-nn.ru/catalog/27/999000012512","Фото")</f>
        <v>Фото</v>
      </c>
      <c r="H326" s="18">
        <v>36.9</v>
      </c>
      <c r="I326" s="27"/>
      <c r="J326" s="13">
        <f>H326*I326</f>
        <v>0</v>
      </c>
    </row>
    <row r="327" spans="1:10" ht="12" customHeight="1">
      <c r="A327" s="13" t="s">
        <v>8752</v>
      </c>
      <c r="B327" s="13" t="s">
        <v>8753</v>
      </c>
      <c r="C327" s="13" t="s">
        <v>256</v>
      </c>
      <c r="D327" s="13" t="s">
        <v>8717</v>
      </c>
      <c r="E327" s="13" t="s">
        <v>93</v>
      </c>
      <c r="F327" s="13" t="s">
        <v>8754</v>
      </c>
      <c r="G327" s="20" t="str">
        <f>HYPERLINK("http://semena-nn.ru/catalog/27/1313386","Фото")</f>
        <v>Фото</v>
      </c>
      <c r="H327" s="19">
        <v>60.65</v>
      </c>
      <c r="I327" s="27"/>
      <c r="J327" s="13">
        <f>H327*I327</f>
        <v>0</v>
      </c>
    </row>
    <row r="328" spans="1:10" ht="12" customHeight="1">
      <c r="A328" s="13" t="s">
        <v>7808</v>
      </c>
      <c r="B328" s="13" t="s">
        <v>7809</v>
      </c>
      <c r="C328" s="13" t="s">
        <v>256</v>
      </c>
      <c r="D328" s="13" t="s">
        <v>7728</v>
      </c>
      <c r="E328" s="13" t="s">
        <v>93</v>
      </c>
      <c r="F328" s="13" t="s">
        <v>7810</v>
      </c>
      <c r="G328" s="20" t="str">
        <f>HYPERLINK("http://www.semena-nn.ru/catalog/27/1307926","Фото")</f>
        <v>Фото</v>
      </c>
      <c r="H328" s="18">
        <v>36.9</v>
      </c>
      <c r="I328" s="27"/>
      <c r="J328" s="13">
        <f>H328*I328</f>
        <v>0</v>
      </c>
    </row>
    <row r="329" spans="1:10" ht="12" customHeight="1">
      <c r="A329" s="13" t="s">
        <v>8328</v>
      </c>
      <c r="B329" s="13" t="s">
        <v>8329</v>
      </c>
      <c r="C329" s="13" t="s">
        <v>256</v>
      </c>
      <c r="D329" s="13" t="s">
        <v>8317</v>
      </c>
      <c r="E329" s="13" t="s">
        <v>93</v>
      </c>
      <c r="F329" s="13" t="s">
        <v>8330</v>
      </c>
      <c r="G329" s="20" t="str">
        <f>HYPERLINK("http://semena-nn.ru/catalog/2/27/big_1298393.jpg","Фото")</f>
        <v>Фото</v>
      </c>
      <c r="H329" s="18">
        <v>55.2</v>
      </c>
      <c r="I329" s="27"/>
      <c r="J329" s="13">
        <f>H329*I329</f>
        <v>0</v>
      </c>
    </row>
    <row r="330" spans="1:10" ht="12" customHeight="1">
      <c r="A330" s="13" t="s">
        <v>254</v>
      </c>
      <c r="B330" s="13" t="s">
        <v>255</v>
      </c>
      <c r="C330" s="13" t="s">
        <v>256</v>
      </c>
      <c r="D330" s="13" t="s">
        <v>28</v>
      </c>
      <c r="E330" s="13" t="s">
        <v>93</v>
      </c>
      <c r="F330" s="13" t="s">
        <v>257</v>
      </c>
      <c r="G330" s="20" t="str">
        <f>HYPERLINK("https://semena-nn.ru/catalog/27/999000020908","Фото")</f>
        <v>Фото</v>
      </c>
      <c r="H330" s="15">
        <v>21</v>
      </c>
      <c r="I330" s="27"/>
      <c r="J330" s="13">
        <f>H330*I330</f>
        <v>0</v>
      </c>
    </row>
    <row r="331" spans="1:10" ht="12" customHeight="1">
      <c r="A331" s="13" t="s">
        <v>5869</v>
      </c>
      <c r="B331" s="13" t="s">
        <v>5870</v>
      </c>
      <c r="C331" s="13" t="s">
        <v>256</v>
      </c>
      <c r="D331" s="13" t="s">
        <v>5834</v>
      </c>
      <c r="E331" s="13" t="s">
        <v>93</v>
      </c>
      <c r="F331" s="13" t="s">
        <v>5871</v>
      </c>
      <c r="G331" s="20" t="str">
        <f>HYPERLINK("https://semena-nn.ru/catalog/27/888000001521","Фото")</f>
        <v>Фото</v>
      </c>
      <c r="H331" s="18">
        <v>14.7</v>
      </c>
      <c r="I331" s="27"/>
      <c r="J331" s="13">
        <f>H331*I331</f>
        <v>0</v>
      </c>
    </row>
    <row r="332" spans="1:10" ht="12" customHeight="1">
      <c r="A332" s="13" t="s">
        <v>258</v>
      </c>
      <c r="B332" s="13" t="s">
        <v>259</v>
      </c>
      <c r="C332" s="13" t="s">
        <v>256</v>
      </c>
      <c r="D332" s="13" t="s">
        <v>28</v>
      </c>
      <c r="E332" s="13" t="s">
        <v>93</v>
      </c>
      <c r="F332" s="13" t="s">
        <v>260</v>
      </c>
      <c r="G332" s="20" t="str">
        <f>HYPERLINK("https://semena-nn.ru/catalog/27/999000009670","Фото")</f>
        <v>Фото</v>
      </c>
      <c r="H332" s="19">
        <v>22.47</v>
      </c>
      <c r="I332" s="27"/>
      <c r="J332" s="13">
        <f>H332*I332</f>
        <v>0</v>
      </c>
    </row>
    <row r="333" spans="1:10" ht="12" customHeight="1">
      <c r="A333" s="13" t="s">
        <v>261</v>
      </c>
      <c r="B333" s="13" t="s">
        <v>262</v>
      </c>
      <c r="C333" s="13" t="s">
        <v>256</v>
      </c>
      <c r="D333" s="13" t="s">
        <v>28</v>
      </c>
      <c r="E333" s="13" t="s">
        <v>93</v>
      </c>
      <c r="F333" s="13" t="s">
        <v>263</v>
      </c>
      <c r="G333" s="20" t="str">
        <f>HYPERLINK("https://semena-nn.ru/catalog/27/999000009671","Фото")</f>
        <v>Фото</v>
      </c>
      <c r="H333" s="19">
        <v>25.15</v>
      </c>
      <c r="I333" s="27"/>
      <c r="J333" s="13">
        <f>H333*I333</f>
        <v>0</v>
      </c>
    </row>
    <row r="334" spans="1:10" ht="12" customHeight="1">
      <c r="A334" s="13" t="s">
        <v>3128</v>
      </c>
      <c r="B334" s="13" t="s">
        <v>3129</v>
      </c>
      <c r="C334" s="13" t="s">
        <v>256</v>
      </c>
      <c r="D334" s="13" t="s">
        <v>697</v>
      </c>
      <c r="E334" s="13" t="s">
        <v>3064</v>
      </c>
      <c r="F334" s="13" t="s">
        <v>3130</v>
      </c>
      <c r="G334" s="20" t="str">
        <f>HYPERLINK("http://semena-nn.ru/catalog/2/27/big_1288102.jpg","Фото")</f>
        <v>Фото</v>
      </c>
      <c r="H334" s="19">
        <v>12.65</v>
      </c>
      <c r="I334" s="27"/>
      <c r="J334" s="13">
        <f>H334*I334</f>
        <v>0</v>
      </c>
    </row>
    <row r="335" spans="1:10" ht="12" customHeight="1">
      <c r="A335" s="13" t="s">
        <v>7205</v>
      </c>
      <c r="B335" s="13" t="s">
        <v>7206</v>
      </c>
      <c r="C335" s="13" t="s">
        <v>256</v>
      </c>
      <c r="D335" s="13" t="s">
        <v>7148</v>
      </c>
      <c r="E335" s="13" t="s">
        <v>93</v>
      </c>
      <c r="F335" s="13" t="s">
        <v>7207</v>
      </c>
      <c r="G335" s="20" t="str">
        <f>HYPERLINK("https://semena-nn.ru/catalog/27/1314873","Фото")</f>
        <v>Фото</v>
      </c>
      <c r="H335" s="18">
        <v>109.6</v>
      </c>
      <c r="I335" s="27"/>
      <c r="J335" s="13">
        <f>H335*I335</f>
        <v>0</v>
      </c>
    </row>
    <row r="336" spans="1:10" ht="12" customHeight="1">
      <c r="A336" s="13" t="s">
        <v>7208</v>
      </c>
      <c r="B336" s="13" t="s">
        <v>7209</v>
      </c>
      <c r="C336" s="13" t="s">
        <v>256</v>
      </c>
      <c r="D336" s="13" t="s">
        <v>7148</v>
      </c>
      <c r="E336" s="13" t="s">
        <v>93</v>
      </c>
      <c r="F336" s="13" t="s">
        <v>7210</v>
      </c>
      <c r="G336" s="20" t="str">
        <f>HYPERLINK("https://semena-nn.ru/catalog/27/999000008549","Фото")</f>
        <v>Фото</v>
      </c>
      <c r="H336" s="19">
        <v>105.85</v>
      </c>
      <c r="I336" s="27"/>
      <c r="J336" s="13">
        <f>H336*I336</f>
        <v>0</v>
      </c>
    </row>
    <row r="337" spans="1:10" ht="12" customHeight="1">
      <c r="A337" s="13" t="s">
        <v>8331</v>
      </c>
      <c r="B337" s="13" t="s">
        <v>8332</v>
      </c>
      <c r="C337" s="13" t="s">
        <v>256</v>
      </c>
      <c r="D337" s="13" t="s">
        <v>8317</v>
      </c>
      <c r="E337" s="13" t="s">
        <v>93</v>
      </c>
      <c r="F337" s="13" t="s">
        <v>8333</v>
      </c>
      <c r="G337" s="20" t="str">
        <f>HYPERLINK("http://semena-nn.ru/catalog/27/1298393","Фото")</f>
        <v>Фото</v>
      </c>
      <c r="H337" s="18">
        <v>55.2</v>
      </c>
      <c r="I337" s="27"/>
      <c r="J337" s="13">
        <f>H337*I337</f>
        <v>0</v>
      </c>
    </row>
    <row r="338" spans="1:10" ht="12" customHeight="1">
      <c r="A338" s="13" t="s">
        <v>8755</v>
      </c>
      <c r="B338" s="13" t="s">
        <v>8756</v>
      </c>
      <c r="C338" s="13" t="s">
        <v>256</v>
      </c>
      <c r="D338" s="13" t="s">
        <v>8717</v>
      </c>
      <c r="E338" s="13" t="s">
        <v>93</v>
      </c>
      <c r="F338" s="13" t="s">
        <v>8757</v>
      </c>
      <c r="G338" s="20" t="str">
        <f>HYPERLINK("https://semena-nn.ru/catalog/27/999000011157","Фото")</f>
        <v>Фото</v>
      </c>
      <c r="H338" s="15">
        <v>19</v>
      </c>
      <c r="I338" s="27"/>
      <c r="J338" s="13">
        <f>H338*I338</f>
        <v>0</v>
      </c>
    </row>
    <row r="339" spans="1:10" ht="12" customHeight="1">
      <c r="A339" s="13" t="s">
        <v>908</v>
      </c>
      <c r="B339" s="13" t="s">
        <v>909</v>
      </c>
      <c r="C339" s="13" t="s">
        <v>256</v>
      </c>
      <c r="D339" s="13" t="s">
        <v>697</v>
      </c>
      <c r="E339" s="13" t="s">
        <v>93</v>
      </c>
      <c r="F339" s="13" t="s">
        <v>910</v>
      </c>
      <c r="G339" s="20" t="str">
        <f>HYPERLINK("https://semena-nn.ru/catalog/27/1283331","Фото")</f>
        <v>Фото</v>
      </c>
      <c r="H339" s="18">
        <v>17.8</v>
      </c>
      <c r="I339" s="27"/>
      <c r="J339" s="13">
        <f>H339*I339</f>
        <v>0</v>
      </c>
    </row>
    <row r="340" spans="1:10" ht="12" customHeight="1">
      <c r="A340" s="13" t="s">
        <v>911</v>
      </c>
      <c r="B340" s="13" t="s">
        <v>912</v>
      </c>
      <c r="C340" s="13" t="s">
        <v>266</v>
      </c>
      <c r="D340" s="13" t="s">
        <v>697</v>
      </c>
      <c r="E340" s="13" t="s">
        <v>93</v>
      </c>
      <c r="F340" s="13" t="s">
        <v>913</v>
      </c>
      <c r="G340" s="20" t="str">
        <f>HYPERLINK("http://semena-nn.ru/catalog/27/999000001787","Фото")</f>
        <v>Фото</v>
      </c>
      <c r="H340" s="18">
        <v>17.8</v>
      </c>
      <c r="I340" s="27"/>
      <c r="J340" s="13">
        <f>H340*I340</f>
        <v>0</v>
      </c>
    </row>
    <row r="341" spans="1:10" ht="12" customHeight="1">
      <c r="A341" s="13" t="s">
        <v>3581</v>
      </c>
      <c r="B341" s="13" t="s">
        <v>3582</v>
      </c>
      <c r="C341" s="13" t="s">
        <v>256</v>
      </c>
      <c r="D341" s="13" t="s">
        <v>3475</v>
      </c>
      <c r="E341" s="13" t="s">
        <v>93</v>
      </c>
      <c r="F341" s="13" t="s">
        <v>3583</v>
      </c>
      <c r="G341" s="20" t="str">
        <f>HYPERLINK("https://semena-nn.ru/catalog/27/1310845","Фото")</f>
        <v>Фото</v>
      </c>
      <c r="H341" s="19">
        <v>49.35</v>
      </c>
      <c r="I341" s="27"/>
      <c r="J341" s="13">
        <f>H341*I341</f>
        <v>0</v>
      </c>
    </row>
    <row r="342" spans="1:10" ht="12" customHeight="1">
      <c r="A342" s="13" t="s">
        <v>7211</v>
      </c>
      <c r="B342" s="13" t="s">
        <v>7212</v>
      </c>
      <c r="C342" s="13" t="s">
        <v>256</v>
      </c>
      <c r="D342" s="13" t="s">
        <v>7148</v>
      </c>
      <c r="E342" s="13" t="s">
        <v>93</v>
      </c>
      <c r="F342" s="13" t="s">
        <v>7213</v>
      </c>
      <c r="G342" s="20" t="str">
        <f>HYPERLINK("https://semena-nn.ru/catalog/27/999000007886","Фото")</f>
        <v>Фото</v>
      </c>
      <c r="H342" s="19">
        <v>105.85</v>
      </c>
      <c r="I342" s="27"/>
      <c r="J342" s="13">
        <f>H342*I342</f>
        <v>0</v>
      </c>
    </row>
    <row r="343" spans="1:10" ht="12" customHeight="1">
      <c r="A343" s="13" t="s">
        <v>5872</v>
      </c>
      <c r="B343" s="13" t="s">
        <v>5873</v>
      </c>
      <c r="C343" s="13" t="s">
        <v>256</v>
      </c>
      <c r="D343" s="13" t="s">
        <v>5834</v>
      </c>
      <c r="E343" s="13" t="s">
        <v>2636</v>
      </c>
      <c r="F343" s="13" t="s">
        <v>5874</v>
      </c>
      <c r="G343" s="20" t="str">
        <f>HYPERLINK("https://semena-nn.ru/catalog/27/888000001522","Фото")</f>
        <v>Фото</v>
      </c>
      <c r="H343" s="19">
        <v>4.9400000000000004</v>
      </c>
      <c r="I343" s="27"/>
      <c r="J343" s="13">
        <f>H343*I343</f>
        <v>0</v>
      </c>
    </row>
    <row r="344" spans="1:10" ht="12" customHeight="1">
      <c r="A344" s="13" t="s">
        <v>6439</v>
      </c>
      <c r="B344" s="13" t="s">
        <v>6440</v>
      </c>
      <c r="C344" s="13" t="s">
        <v>256</v>
      </c>
      <c r="D344" s="13" t="s">
        <v>87</v>
      </c>
      <c r="E344" s="13" t="s">
        <v>93</v>
      </c>
      <c r="F344" s="13" t="s">
        <v>6441</v>
      </c>
      <c r="G344" s="20" t="str">
        <f>HYPERLINK("https://semena-nn.ru/catalog/27/1118037","Фото")</f>
        <v>Фото</v>
      </c>
      <c r="H344" s="19">
        <v>36.75</v>
      </c>
      <c r="I344" s="27"/>
      <c r="J344" s="13">
        <f>H344*I344</f>
        <v>0</v>
      </c>
    </row>
    <row r="345" spans="1:10" ht="12" customHeight="1">
      <c r="A345" s="13" t="s">
        <v>3584</v>
      </c>
      <c r="B345" s="13" t="s">
        <v>3585</v>
      </c>
      <c r="C345" s="13" t="s">
        <v>256</v>
      </c>
      <c r="D345" s="13" t="s">
        <v>3475</v>
      </c>
      <c r="E345" s="13" t="s">
        <v>93</v>
      </c>
      <c r="F345" s="13" t="s">
        <v>3586</v>
      </c>
      <c r="G345" s="20" t="str">
        <f>HYPERLINK("https://semena-nn.ru/catalog/27/1307093","Фото")</f>
        <v>Фото</v>
      </c>
      <c r="H345" s="18">
        <v>57.3</v>
      </c>
      <c r="I345" s="27"/>
      <c r="J345" s="13">
        <f>H345*I345</f>
        <v>0</v>
      </c>
    </row>
    <row r="346" spans="1:10" ht="12" customHeight="1">
      <c r="A346" s="13" t="s">
        <v>2722</v>
      </c>
      <c r="B346" s="13" t="s">
        <v>2723</v>
      </c>
      <c r="C346" s="13" t="s">
        <v>256</v>
      </c>
      <c r="D346" s="13" t="s">
        <v>697</v>
      </c>
      <c r="E346" s="13" t="s">
        <v>2636</v>
      </c>
      <c r="F346" s="13" t="s">
        <v>2724</v>
      </c>
      <c r="G346" s="20" t="str">
        <f>HYPERLINK("http://semena-nn.ru/catalog/27/80410","Фото")</f>
        <v>Фото</v>
      </c>
      <c r="H346" s="19">
        <v>6.85</v>
      </c>
      <c r="I346" s="27"/>
      <c r="J346" s="13">
        <f>H346*I346</f>
        <v>0</v>
      </c>
    </row>
    <row r="347" spans="1:10" ht="12" customHeight="1">
      <c r="A347" s="13" t="s">
        <v>914</v>
      </c>
      <c r="B347" s="13" t="s">
        <v>915</v>
      </c>
      <c r="C347" s="13" t="s">
        <v>256</v>
      </c>
      <c r="D347" s="13" t="s">
        <v>697</v>
      </c>
      <c r="E347" s="13" t="s">
        <v>93</v>
      </c>
      <c r="F347" s="13" t="s">
        <v>916</v>
      </c>
      <c r="G347" s="20" t="str">
        <f>HYPERLINK("https://semena-nn.ru/catalog/27/999000009145","Фото")</f>
        <v>Фото</v>
      </c>
      <c r="H347" s="18">
        <v>17.8</v>
      </c>
      <c r="I347" s="27"/>
      <c r="J347" s="13">
        <f>H347*I347</f>
        <v>0</v>
      </c>
    </row>
    <row r="348" spans="1:10" ht="12" customHeight="1">
      <c r="A348" s="13" t="s">
        <v>8758</v>
      </c>
      <c r="B348" s="13" t="s">
        <v>8759</v>
      </c>
      <c r="C348" s="13" t="s">
        <v>256</v>
      </c>
      <c r="D348" s="13" t="s">
        <v>8717</v>
      </c>
      <c r="E348" s="13" t="s">
        <v>93</v>
      </c>
      <c r="F348" s="13" t="s">
        <v>8760</v>
      </c>
      <c r="G348" s="20" t="str">
        <f>HYPERLINK("https://semena-nn.ru/catalog/27/999000010097","Фото")</f>
        <v>Фото</v>
      </c>
      <c r="H348" s="15">
        <v>19</v>
      </c>
      <c r="I348" s="27"/>
      <c r="J348" s="13">
        <f>H348*I348</f>
        <v>0</v>
      </c>
    </row>
    <row r="349" spans="1:10" ht="12" customHeight="1">
      <c r="A349" s="13" t="s">
        <v>7214</v>
      </c>
      <c r="B349" s="13" t="s">
        <v>7215</v>
      </c>
      <c r="C349" s="13" t="s">
        <v>256</v>
      </c>
      <c r="D349" s="13" t="s">
        <v>7148</v>
      </c>
      <c r="E349" s="13" t="s">
        <v>93</v>
      </c>
      <c r="F349" s="13" t="s">
        <v>7216</v>
      </c>
      <c r="G349" s="20" t="str">
        <f>HYPERLINK("https://semena-nn.ru/catalog/27/999000007887","Фото")</f>
        <v>Фото</v>
      </c>
      <c r="H349" s="18">
        <v>85.7</v>
      </c>
      <c r="I349" s="27"/>
      <c r="J349" s="13">
        <f>H349*I349</f>
        <v>0</v>
      </c>
    </row>
    <row r="350" spans="1:10" ht="12" customHeight="1">
      <c r="A350" s="13" t="s">
        <v>8761</v>
      </c>
      <c r="B350" s="13" t="s">
        <v>8762</v>
      </c>
      <c r="C350" s="13" t="s">
        <v>256</v>
      </c>
      <c r="D350" s="13" t="s">
        <v>8717</v>
      </c>
      <c r="E350" s="13" t="s">
        <v>93</v>
      </c>
      <c r="F350" s="13" t="s">
        <v>8763</v>
      </c>
      <c r="G350" s="20" t="str">
        <f>HYPERLINK("http://semena-nn.ru/catalog/27/1309693","Фото")</f>
        <v>Фото</v>
      </c>
      <c r="H350" s="18">
        <v>22.6</v>
      </c>
      <c r="I350" s="27"/>
      <c r="J350" s="13">
        <f>H350*I350</f>
        <v>0</v>
      </c>
    </row>
    <row r="351" spans="1:10" ht="12" customHeight="1">
      <c r="A351" s="13" t="s">
        <v>8764</v>
      </c>
      <c r="B351" s="13" t="s">
        <v>8765</v>
      </c>
      <c r="C351" s="13" t="s">
        <v>256</v>
      </c>
      <c r="D351" s="13" t="s">
        <v>8717</v>
      </c>
      <c r="E351" s="13" t="s">
        <v>93</v>
      </c>
      <c r="F351" s="13" t="s">
        <v>8766</v>
      </c>
      <c r="G351" s="20" t="str">
        <f>HYPERLINK("http://www.semena-nn.ru/catalog/27/1309694","Фото")</f>
        <v>Фото</v>
      </c>
      <c r="H351" s="18">
        <v>25.7</v>
      </c>
      <c r="I351" s="27"/>
      <c r="J351" s="13">
        <f>H351*I351</f>
        <v>0</v>
      </c>
    </row>
    <row r="352" spans="1:10" ht="12" customHeight="1">
      <c r="A352" s="13" t="s">
        <v>7217</v>
      </c>
      <c r="B352" s="13" t="s">
        <v>7218</v>
      </c>
      <c r="C352" s="13" t="s">
        <v>256</v>
      </c>
      <c r="D352" s="13" t="s">
        <v>7148</v>
      </c>
      <c r="E352" s="13" t="s">
        <v>93</v>
      </c>
      <c r="F352" s="13" t="s">
        <v>7219</v>
      </c>
      <c r="G352" s="20" t="str">
        <f>HYPERLINK("https://semena-nn.ru/catalog/27/999000009507","Фото")</f>
        <v>Фото</v>
      </c>
      <c r="H352" s="19">
        <v>105.85</v>
      </c>
      <c r="I352" s="27"/>
      <c r="J352" s="13">
        <f>H352*I352</f>
        <v>0</v>
      </c>
    </row>
    <row r="353" spans="1:10" ht="12" customHeight="1">
      <c r="A353" s="13" t="s">
        <v>8767</v>
      </c>
      <c r="B353" s="13" t="s">
        <v>8768</v>
      </c>
      <c r="C353" s="13" t="s">
        <v>256</v>
      </c>
      <c r="D353" s="13" t="s">
        <v>8717</v>
      </c>
      <c r="E353" s="13" t="s">
        <v>93</v>
      </c>
      <c r="F353" s="13" t="s">
        <v>8769</v>
      </c>
      <c r="G353" s="20" t="str">
        <f>HYPERLINK("https://semena-nn.ru/catalog/27/1311885","Фото")</f>
        <v>Фото</v>
      </c>
      <c r="H353" s="15">
        <v>19</v>
      </c>
      <c r="I353" s="27"/>
      <c r="J353" s="13">
        <f>H353*I353</f>
        <v>0</v>
      </c>
    </row>
    <row r="354" spans="1:10" ht="12" customHeight="1">
      <c r="A354" s="13" t="s">
        <v>3131</v>
      </c>
      <c r="B354" s="13" t="s">
        <v>3132</v>
      </c>
      <c r="C354" s="13" t="s">
        <v>256</v>
      </c>
      <c r="D354" s="13" t="s">
        <v>697</v>
      </c>
      <c r="E354" s="13" t="s">
        <v>3064</v>
      </c>
      <c r="F354" s="13" t="s">
        <v>3133</v>
      </c>
      <c r="G354" s="20" t="str">
        <f>HYPERLINK("http://semena-nn.ru/catalog/27/1287463","Фото")</f>
        <v>Фото</v>
      </c>
      <c r="H354" s="19">
        <v>16.55</v>
      </c>
      <c r="I354" s="27"/>
      <c r="J354" s="13">
        <f>H354*I354</f>
        <v>0</v>
      </c>
    </row>
    <row r="355" spans="1:10" ht="12" customHeight="1">
      <c r="A355" s="13" t="s">
        <v>7220</v>
      </c>
      <c r="B355" s="13" t="s">
        <v>7221</v>
      </c>
      <c r="C355" s="13" t="s">
        <v>256</v>
      </c>
      <c r="D355" s="13" t="s">
        <v>7148</v>
      </c>
      <c r="E355" s="13" t="s">
        <v>93</v>
      </c>
      <c r="F355" s="13" t="s">
        <v>7222</v>
      </c>
      <c r="G355" s="20" t="str">
        <f>HYPERLINK("http://semena-nn.ru/catalog/27/1314870","Фото")</f>
        <v>Фото</v>
      </c>
      <c r="H355" s="19">
        <v>61.75</v>
      </c>
      <c r="I355" s="27"/>
      <c r="J355" s="13">
        <f>H355*I355</f>
        <v>0</v>
      </c>
    </row>
    <row r="356" spans="1:10" ht="12" customHeight="1">
      <c r="A356" s="13" t="s">
        <v>3587</v>
      </c>
      <c r="B356" s="13" t="s">
        <v>3588</v>
      </c>
      <c r="C356" s="13" t="s">
        <v>266</v>
      </c>
      <c r="D356" s="13" t="s">
        <v>3475</v>
      </c>
      <c r="E356" s="13" t="s">
        <v>93</v>
      </c>
      <c r="F356" s="13" t="s">
        <v>3589</v>
      </c>
      <c r="G356" s="20" t="str">
        <f>HYPERLINK("http://semena-nn.ru/catalog/26/1314022","Фото")</f>
        <v>Фото</v>
      </c>
      <c r="H356" s="18">
        <v>24.7</v>
      </c>
      <c r="I356" s="27"/>
      <c r="J356" s="13">
        <f>H356*I356</f>
        <v>0</v>
      </c>
    </row>
    <row r="357" spans="1:10" ht="12" customHeight="1">
      <c r="A357" s="13" t="s">
        <v>3590</v>
      </c>
      <c r="B357" s="13" t="s">
        <v>3591</v>
      </c>
      <c r="C357" s="13" t="s">
        <v>266</v>
      </c>
      <c r="D357" s="13" t="s">
        <v>3475</v>
      </c>
      <c r="E357" s="13" t="s">
        <v>93</v>
      </c>
      <c r="F357" s="13" t="s">
        <v>3592</v>
      </c>
      <c r="G357" s="20" t="str">
        <f>HYPERLINK("https://semena-nn.ru/catalog/26/1310924","Фото")</f>
        <v>Фото</v>
      </c>
      <c r="H357" s="18">
        <v>36.5</v>
      </c>
      <c r="I357" s="27"/>
      <c r="J357" s="13">
        <f>H357*I357</f>
        <v>0</v>
      </c>
    </row>
    <row r="358" spans="1:10" ht="12" customHeight="1">
      <c r="A358" s="13" t="s">
        <v>5183</v>
      </c>
      <c r="B358" s="13" t="s">
        <v>5184</v>
      </c>
      <c r="C358" s="13" t="s">
        <v>266</v>
      </c>
      <c r="D358" s="13" t="s">
        <v>5136</v>
      </c>
      <c r="E358" s="13" t="s">
        <v>93</v>
      </c>
      <c r="F358" s="13" t="s">
        <v>5185</v>
      </c>
      <c r="G358" s="20" t="str">
        <f>HYPERLINK("https://semena-nn.ru/catalog/26/888000000625","Фото")</f>
        <v>Фото</v>
      </c>
      <c r="H358" s="18">
        <v>31.5</v>
      </c>
      <c r="I358" s="27"/>
      <c r="J358" s="13">
        <f>H358*I358</f>
        <v>0</v>
      </c>
    </row>
    <row r="359" spans="1:10" ht="12" customHeight="1">
      <c r="A359" s="13" t="s">
        <v>2725</v>
      </c>
      <c r="B359" s="13" t="s">
        <v>2726</v>
      </c>
      <c r="C359" s="13" t="s">
        <v>266</v>
      </c>
      <c r="D359" s="13" t="s">
        <v>697</v>
      </c>
      <c r="E359" s="13" t="s">
        <v>2636</v>
      </c>
      <c r="F359" s="13" t="s">
        <v>2727</v>
      </c>
      <c r="G359" s="20" t="str">
        <f>HYPERLINK("http://semena-nn.ru/catalog/26/999000006252","Фото")</f>
        <v>Фото</v>
      </c>
      <c r="H359" s="19">
        <v>6.85</v>
      </c>
      <c r="I359" s="27"/>
      <c r="J359" s="13">
        <f>H359*I359</f>
        <v>0</v>
      </c>
    </row>
    <row r="360" spans="1:10" ht="12" customHeight="1">
      <c r="A360" s="13" t="s">
        <v>3134</v>
      </c>
      <c r="B360" s="13" t="s">
        <v>3135</v>
      </c>
      <c r="C360" s="13" t="s">
        <v>266</v>
      </c>
      <c r="D360" s="13" t="s">
        <v>697</v>
      </c>
      <c r="E360" s="13" t="s">
        <v>3064</v>
      </c>
      <c r="F360" s="13" t="s">
        <v>3136</v>
      </c>
      <c r="G360" s="20" t="str">
        <f>HYPERLINK("http://semena-nn.ru/catalog/2/26/big_1299518.jpg","Фото")</f>
        <v>Фото</v>
      </c>
      <c r="H360" s="15">
        <v>13</v>
      </c>
      <c r="I360" s="27"/>
      <c r="J360" s="13">
        <f>H360*I360</f>
        <v>0</v>
      </c>
    </row>
    <row r="361" spans="1:10" ht="12" customHeight="1">
      <c r="A361" s="13" t="s">
        <v>7811</v>
      </c>
      <c r="B361" s="13" t="s">
        <v>7812</v>
      </c>
      <c r="C361" s="13" t="s">
        <v>266</v>
      </c>
      <c r="D361" s="13" t="s">
        <v>7728</v>
      </c>
      <c r="E361" s="13" t="s">
        <v>93</v>
      </c>
      <c r="F361" s="13" t="s">
        <v>7813</v>
      </c>
      <c r="G361" s="20" t="str">
        <f>HYPERLINK("http://www.semena-nn.ru/catalog/26/1119128","Фото")</f>
        <v>Фото</v>
      </c>
      <c r="H361" s="18">
        <v>22.2</v>
      </c>
      <c r="I361" s="27"/>
      <c r="J361" s="13">
        <f>H361*I361</f>
        <v>0</v>
      </c>
    </row>
    <row r="362" spans="1:10" ht="12" customHeight="1">
      <c r="A362" s="13" t="s">
        <v>917</v>
      </c>
      <c r="B362" s="13" t="s">
        <v>918</v>
      </c>
      <c r="C362" s="13" t="s">
        <v>266</v>
      </c>
      <c r="D362" s="13" t="s">
        <v>697</v>
      </c>
      <c r="E362" s="13" t="s">
        <v>93</v>
      </c>
      <c r="F362" s="13" t="s">
        <v>919</v>
      </c>
      <c r="G362" s="20" t="str">
        <f>HYPERLINK("https://semena-nn.ru/catalog/26/94028","Фото")</f>
        <v>Фото</v>
      </c>
      <c r="H362" s="18">
        <v>17.8</v>
      </c>
      <c r="I362" s="27"/>
      <c r="J362" s="13">
        <f>H362*I362</f>
        <v>0</v>
      </c>
    </row>
    <row r="363" spans="1:10" ht="12" customHeight="1">
      <c r="A363" s="13" t="s">
        <v>3593</v>
      </c>
      <c r="B363" s="13" t="s">
        <v>3594</v>
      </c>
      <c r="C363" s="13" t="s">
        <v>266</v>
      </c>
      <c r="D363" s="13" t="s">
        <v>3475</v>
      </c>
      <c r="E363" s="13" t="s">
        <v>93</v>
      </c>
      <c r="F363" s="13" t="s">
        <v>3595</v>
      </c>
      <c r="G363" s="20" t="str">
        <f>HYPERLINK("https://semena-nn.ru/catalog/26/1299569","Фото")</f>
        <v>Фото</v>
      </c>
      <c r="H363" s="18">
        <v>18.7</v>
      </c>
      <c r="I363" s="27"/>
      <c r="J363" s="13">
        <f>H363*I363</f>
        <v>0</v>
      </c>
    </row>
    <row r="364" spans="1:10" ht="12" customHeight="1">
      <c r="A364" s="13" t="s">
        <v>8770</v>
      </c>
      <c r="B364" s="13" t="s">
        <v>8771</v>
      </c>
      <c r="C364" s="13" t="s">
        <v>266</v>
      </c>
      <c r="D364" s="13" t="s">
        <v>8717</v>
      </c>
      <c r="E364" s="13" t="s">
        <v>93</v>
      </c>
      <c r="F364" s="13" t="s">
        <v>8772</v>
      </c>
      <c r="G364" s="20" t="str">
        <f>HYPERLINK("http://semena-nn.ru/catalog/26/999000002315","Фото")</f>
        <v>Фото</v>
      </c>
      <c r="H364" s="19">
        <v>23.05</v>
      </c>
      <c r="I364" s="27"/>
      <c r="J364" s="13">
        <f>H364*I364</f>
        <v>0</v>
      </c>
    </row>
    <row r="365" spans="1:10" ht="12" customHeight="1">
      <c r="A365" s="13" t="s">
        <v>3596</v>
      </c>
      <c r="B365" s="13" t="s">
        <v>3597</v>
      </c>
      <c r="C365" s="13" t="s">
        <v>266</v>
      </c>
      <c r="D365" s="13" t="s">
        <v>3475</v>
      </c>
      <c r="E365" s="13" t="s">
        <v>93</v>
      </c>
      <c r="F365" s="13" t="s">
        <v>3598</v>
      </c>
      <c r="G365" s="20" t="str">
        <f>HYPERLINK("http://semena-nn.ru/catalog/26/1301404","Фото")</f>
        <v>Фото</v>
      </c>
      <c r="H365" s="18">
        <v>29.4</v>
      </c>
      <c r="I365" s="27"/>
      <c r="J365" s="13">
        <f>H365*I365</f>
        <v>0</v>
      </c>
    </row>
    <row r="366" spans="1:10" ht="12" customHeight="1">
      <c r="A366" s="13" t="s">
        <v>5186</v>
      </c>
      <c r="B366" s="13" t="s">
        <v>5187</v>
      </c>
      <c r="C366" s="13" t="s">
        <v>266</v>
      </c>
      <c r="D366" s="13" t="s">
        <v>5136</v>
      </c>
      <c r="E366" s="13" t="s">
        <v>93</v>
      </c>
      <c r="F366" s="13" t="s">
        <v>5188</v>
      </c>
      <c r="G366" s="20" t="str">
        <f>HYPERLINK("https://semena-nn.ru/catalog/26/888000000626","Фото")</f>
        <v>Фото</v>
      </c>
      <c r="H366" s="18">
        <v>31.5</v>
      </c>
      <c r="I366" s="27"/>
      <c r="J366" s="13">
        <f>H366*I366</f>
        <v>0</v>
      </c>
    </row>
    <row r="367" spans="1:10" ht="12" customHeight="1">
      <c r="A367" s="13" t="s">
        <v>8773</v>
      </c>
      <c r="B367" s="13" t="s">
        <v>8774</v>
      </c>
      <c r="C367" s="13" t="s">
        <v>266</v>
      </c>
      <c r="D367" s="13" t="s">
        <v>8717</v>
      </c>
      <c r="E367" s="13" t="s">
        <v>93</v>
      </c>
      <c r="F367" s="13" t="s">
        <v>8775</v>
      </c>
      <c r="G367" s="20" t="str">
        <f>HYPERLINK("https://semena-nn.ru/catalog/26/999000001574","Фото")</f>
        <v>Фото</v>
      </c>
      <c r="H367" s="15">
        <v>19</v>
      </c>
      <c r="I367" s="27"/>
      <c r="J367" s="13">
        <f>H367*I367</f>
        <v>0</v>
      </c>
    </row>
    <row r="368" spans="1:10" ht="12" customHeight="1">
      <c r="A368" s="13" t="s">
        <v>3599</v>
      </c>
      <c r="B368" s="13" t="s">
        <v>3600</v>
      </c>
      <c r="C368" s="13" t="s">
        <v>266</v>
      </c>
      <c r="D368" s="13" t="s">
        <v>3475</v>
      </c>
      <c r="E368" s="13" t="s">
        <v>93</v>
      </c>
      <c r="F368" s="13" t="s">
        <v>3601</v>
      </c>
      <c r="G368" s="20" t="str">
        <f>HYPERLINK("http://semena-nn.ru/catalog/26/1123899","Фото")</f>
        <v>Фото</v>
      </c>
      <c r="H368" s="18">
        <v>18.7</v>
      </c>
      <c r="I368" s="27"/>
      <c r="J368" s="13">
        <f>H368*I368</f>
        <v>0</v>
      </c>
    </row>
    <row r="369" spans="1:10" ht="12" customHeight="1">
      <c r="A369" s="13" t="s">
        <v>920</v>
      </c>
      <c r="B369" s="13" t="s">
        <v>921</v>
      </c>
      <c r="C369" s="13" t="s">
        <v>266</v>
      </c>
      <c r="D369" s="13" t="s">
        <v>697</v>
      </c>
      <c r="E369" s="13" t="s">
        <v>93</v>
      </c>
      <c r="F369" s="13" t="s">
        <v>922</v>
      </c>
      <c r="G369" s="20" t="str">
        <f>HYPERLINK("http://semena-nn.ru/catalog/2/26/big_113135.jpg","Фото")</f>
        <v>Фото</v>
      </c>
      <c r="H369" s="19">
        <v>18.45</v>
      </c>
      <c r="I369" s="27"/>
      <c r="J369" s="13">
        <f>H369*I369</f>
        <v>0</v>
      </c>
    </row>
    <row r="370" spans="1:10" ht="12" customHeight="1">
      <c r="A370" s="13" t="s">
        <v>923</v>
      </c>
      <c r="B370" s="13" t="s">
        <v>924</v>
      </c>
      <c r="C370" s="13" t="s">
        <v>605</v>
      </c>
      <c r="D370" s="13" t="s">
        <v>697</v>
      </c>
      <c r="E370" s="13" t="s">
        <v>93</v>
      </c>
      <c r="F370" s="13" t="s">
        <v>925</v>
      </c>
      <c r="G370" s="20" t="str">
        <f>HYPERLINK("http://semena-nn.ru/catalog/55/101232","Фото")</f>
        <v>Фото</v>
      </c>
      <c r="H370" s="19">
        <v>58.15</v>
      </c>
      <c r="I370" s="27"/>
      <c r="J370" s="13">
        <f>H370*I370</f>
        <v>0</v>
      </c>
    </row>
    <row r="371" spans="1:10" ht="12" customHeight="1">
      <c r="A371" s="13" t="s">
        <v>926</v>
      </c>
      <c r="B371" s="13" t="s">
        <v>927</v>
      </c>
      <c r="C371" s="13" t="s">
        <v>266</v>
      </c>
      <c r="D371" s="13" t="s">
        <v>697</v>
      </c>
      <c r="E371" s="13" t="s">
        <v>93</v>
      </c>
      <c r="F371" s="13" t="s">
        <v>928</v>
      </c>
      <c r="G371" s="20" t="str">
        <f>HYPERLINK("https://semena-nn.ru/catalog/26/1120935","Фото")</f>
        <v>Фото</v>
      </c>
      <c r="H371" s="19">
        <v>24.95</v>
      </c>
      <c r="I371" s="27"/>
      <c r="J371" s="13">
        <f>H371*I371</f>
        <v>0</v>
      </c>
    </row>
    <row r="372" spans="1:10" ht="12" customHeight="1">
      <c r="A372" s="13" t="s">
        <v>3602</v>
      </c>
      <c r="B372" s="13" t="s">
        <v>3603</v>
      </c>
      <c r="C372" s="13" t="s">
        <v>266</v>
      </c>
      <c r="D372" s="13" t="s">
        <v>3475</v>
      </c>
      <c r="E372" s="13" t="s">
        <v>93</v>
      </c>
      <c r="F372" s="13" t="s">
        <v>3604</v>
      </c>
      <c r="G372" s="20" t="str">
        <f>HYPERLINK("http://semena-nn.ru/catalog/26/113750","Фото")</f>
        <v>Фото</v>
      </c>
      <c r="H372" s="18">
        <v>18.7</v>
      </c>
      <c r="I372" s="27"/>
      <c r="J372" s="13">
        <f>H372*I372</f>
        <v>0</v>
      </c>
    </row>
    <row r="373" spans="1:10" ht="12" customHeight="1">
      <c r="A373" s="13" t="s">
        <v>5189</v>
      </c>
      <c r="B373" s="13" t="s">
        <v>5190</v>
      </c>
      <c r="C373" s="13" t="s">
        <v>266</v>
      </c>
      <c r="D373" s="13" t="s">
        <v>5136</v>
      </c>
      <c r="E373" s="13" t="s">
        <v>93</v>
      </c>
      <c r="F373" s="13" t="s">
        <v>5191</v>
      </c>
      <c r="G373" s="20" t="str">
        <f>HYPERLINK("https://semena-nn.ru/catalog/26/888000000627","Фото")</f>
        <v>Фото</v>
      </c>
      <c r="H373" s="18">
        <v>31.5</v>
      </c>
      <c r="I373" s="27"/>
      <c r="J373" s="13">
        <f>H373*I373</f>
        <v>0</v>
      </c>
    </row>
    <row r="374" spans="1:10" ht="12" customHeight="1">
      <c r="A374" s="13" t="s">
        <v>6442</v>
      </c>
      <c r="B374" s="13" t="s">
        <v>6443</v>
      </c>
      <c r="C374" s="13" t="s">
        <v>266</v>
      </c>
      <c r="D374" s="13" t="s">
        <v>87</v>
      </c>
      <c r="E374" s="13" t="s">
        <v>93</v>
      </c>
      <c r="F374" s="13" t="s">
        <v>6444</v>
      </c>
      <c r="G374" s="20" t="str">
        <f>HYPERLINK("https://semena-nn.ru/catalog/26/999000004788","Фото")</f>
        <v>Фото</v>
      </c>
      <c r="H374" s="19">
        <v>19.850000000000001</v>
      </c>
      <c r="I374" s="27"/>
      <c r="J374" s="13">
        <f>H374*I374</f>
        <v>0</v>
      </c>
    </row>
    <row r="375" spans="1:10" ht="12" customHeight="1">
      <c r="A375" s="13" t="s">
        <v>2728</v>
      </c>
      <c r="B375" s="13" t="s">
        <v>2729</v>
      </c>
      <c r="C375" s="13" t="s">
        <v>266</v>
      </c>
      <c r="D375" s="13" t="s">
        <v>697</v>
      </c>
      <c r="E375" s="13" t="s">
        <v>2636</v>
      </c>
      <c r="F375" s="13" t="s">
        <v>2730</v>
      </c>
      <c r="G375" s="20" t="str">
        <f>HYPERLINK("http://semena-nn.ru/catalog/26/1125919","Фото")</f>
        <v>Фото</v>
      </c>
      <c r="H375" s="19">
        <v>6.85</v>
      </c>
      <c r="I375" s="27"/>
      <c r="J375" s="13">
        <f>H375*I375</f>
        <v>0</v>
      </c>
    </row>
    <row r="376" spans="1:10" ht="12" customHeight="1">
      <c r="A376" s="13" t="s">
        <v>3605</v>
      </c>
      <c r="B376" s="13" t="s">
        <v>3606</v>
      </c>
      <c r="C376" s="13" t="s">
        <v>266</v>
      </c>
      <c r="D376" s="13" t="s">
        <v>3475</v>
      </c>
      <c r="E376" s="13" t="s">
        <v>93</v>
      </c>
      <c r="F376" s="13" t="s">
        <v>3607</v>
      </c>
      <c r="G376" s="20" t="str">
        <f>HYPERLINK("http://semena-nn.ru/catalog/26/1310926","Фото")</f>
        <v>Фото</v>
      </c>
      <c r="H376" s="15">
        <v>43</v>
      </c>
      <c r="I376" s="27"/>
      <c r="J376" s="13">
        <f>H376*I376</f>
        <v>0</v>
      </c>
    </row>
    <row r="377" spans="1:10" ht="12" customHeight="1">
      <c r="A377" s="13" t="s">
        <v>929</v>
      </c>
      <c r="B377" s="13" t="s">
        <v>930</v>
      </c>
      <c r="C377" s="13" t="s">
        <v>266</v>
      </c>
      <c r="D377" s="13" t="s">
        <v>697</v>
      </c>
      <c r="E377" s="13" t="s">
        <v>93</v>
      </c>
      <c r="F377" s="13" t="s">
        <v>931</v>
      </c>
      <c r="G377" s="20" t="str">
        <f>HYPERLINK("http://semena-nn.ru/catalog/26/1308054","Фото")</f>
        <v>Фото</v>
      </c>
      <c r="H377" s="18">
        <v>17.8</v>
      </c>
      <c r="I377" s="27"/>
      <c r="J377" s="13">
        <f>H377*I377</f>
        <v>0</v>
      </c>
    </row>
    <row r="378" spans="1:10" ht="12" customHeight="1">
      <c r="A378" s="13" t="s">
        <v>3608</v>
      </c>
      <c r="B378" s="13" t="s">
        <v>3609</v>
      </c>
      <c r="C378" s="13" t="s">
        <v>266</v>
      </c>
      <c r="D378" s="13" t="s">
        <v>3475</v>
      </c>
      <c r="E378" s="13" t="s">
        <v>93</v>
      </c>
      <c r="F378" s="13" t="s">
        <v>3610</v>
      </c>
      <c r="G378" s="20" t="str">
        <f>HYPERLINK("http://semena-nn.ru/catalog/26/1114322","Фото")</f>
        <v>Фото</v>
      </c>
      <c r="H378" s="18">
        <v>18.7</v>
      </c>
      <c r="I378" s="27"/>
      <c r="J378" s="13">
        <f>H378*I378</f>
        <v>0</v>
      </c>
    </row>
    <row r="379" spans="1:10" ht="12" customHeight="1">
      <c r="A379" s="13" t="s">
        <v>932</v>
      </c>
      <c r="B379" s="13" t="s">
        <v>933</v>
      </c>
      <c r="C379" s="13" t="s">
        <v>266</v>
      </c>
      <c r="D379" s="13" t="s">
        <v>697</v>
      </c>
      <c r="E379" s="13" t="s">
        <v>93</v>
      </c>
      <c r="F379" s="13" t="s">
        <v>934</v>
      </c>
      <c r="G379" s="20" t="str">
        <f>HYPERLINK("http://semena-nn.ru/catalog/26/999000006697","Фото")</f>
        <v>Фото</v>
      </c>
      <c r="H379" s="18">
        <v>17.8</v>
      </c>
      <c r="I379" s="27"/>
      <c r="J379" s="13">
        <f>H379*I379</f>
        <v>0</v>
      </c>
    </row>
    <row r="380" spans="1:10" ht="12" customHeight="1">
      <c r="A380" s="13" t="s">
        <v>935</v>
      </c>
      <c r="B380" s="13" t="s">
        <v>936</v>
      </c>
      <c r="C380" s="13" t="s">
        <v>266</v>
      </c>
      <c r="D380" s="13" t="s">
        <v>697</v>
      </c>
      <c r="E380" s="13" t="s">
        <v>93</v>
      </c>
      <c r="F380" s="13" t="s">
        <v>937</v>
      </c>
      <c r="G380" s="20" t="str">
        <f>HYPERLINK("https://semena-nn.ru/catalog/26/888000000604","Фото")</f>
        <v>Фото</v>
      </c>
      <c r="H380" s="19">
        <v>19.05</v>
      </c>
      <c r="I380" s="27"/>
      <c r="J380" s="13">
        <f>H380*I380</f>
        <v>0</v>
      </c>
    </row>
    <row r="381" spans="1:10" ht="12" customHeight="1">
      <c r="A381" s="13" t="s">
        <v>3137</v>
      </c>
      <c r="B381" s="13" t="s">
        <v>3138</v>
      </c>
      <c r="C381" s="13" t="s">
        <v>266</v>
      </c>
      <c r="D381" s="13" t="s">
        <v>697</v>
      </c>
      <c r="E381" s="13" t="s">
        <v>3064</v>
      </c>
      <c r="F381" s="13" t="s">
        <v>3139</v>
      </c>
      <c r="G381" s="20" t="str">
        <f>HYPERLINK("https://semena-nn.ru/catalog/26/1288103","Фото")</f>
        <v>Фото</v>
      </c>
      <c r="H381" s="19">
        <v>12.65</v>
      </c>
      <c r="I381" s="27"/>
      <c r="J381" s="13">
        <f>H381*I381</f>
        <v>0</v>
      </c>
    </row>
    <row r="382" spans="1:10" ht="12" customHeight="1">
      <c r="A382" s="13" t="s">
        <v>3140</v>
      </c>
      <c r="B382" s="13" t="s">
        <v>3141</v>
      </c>
      <c r="C382" s="13" t="s">
        <v>266</v>
      </c>
      <c r="D382" s="13" t="s">
        <v>697</v>
      </c>
      <c r="E382" s="13" t="s">
        <v>3064</v>
      </c>
      <c r="F382" s="13" t="s">
        <v>3142</v>
      </c>
      <c r="G382" s="20" t="str">
        <f>HYPERLINK("https://semena-nn.ru/catalog/26/1288104","Фото")</f>
        <v>Фото</v>
      </c>
      <c r="H382" s="19">
        <v>12.65</v>
      </c>
      <c r="I382" s="27"/>
      <c r="J382" s="13">
        <f>H382*I382</f>
        <v>0</v>
      </c>
    </row>
    <row r="383" spans="1:10" ht="12" customHeight="1">
      <c r="A383" s="13" t="s">
        <v>5192</v>
      </c>
      <c r="B383" s="13" t="s">
        <v>5193</v>
      </c>
      <c r="C383" s="13" t="s">
        <v>266</v>
      </c>
      <c r="D383" s="13" t="s">
        <v>5136</v>
      </c>
      <c r="E383" s="13" t="s">
        <v>93</v>
      </c>
      <c r="F383" s="13" t="s">
        <v>5194</v>
      </c>
      <c r="G383" s="20" t="str">
        <f>HYPERLINK("https://semena-nn.ru/catalog/26/888000000630","Фото")</f>
        <v>Фото</v>
      </c>
      <c r="H383" s="18">
        <v>31.5</v>
      </c>
      <c r="I383" s="27"/>
      <c r="J383" s="13">
        <f>H383*I383</f>
        <v>0</v>
      </c>
    </row>
    <row r="384" spans="1:10" ht="12" customHeight="1">
      <c r="A384" s="13" t="s">
        <v>6445</v>
      </c>
      <c r="B384" s="13" t="s">
        <v>6446</v>
      </c>
      <c r="C384" s="13" t="s">
        <v>266</v>
      </c>
      <c r="D384" s="13" t="s">
        <v>87</v>
      </c>
      <c r="E384" s="13" t="s">
        <v>93</v>
      </c>
      <c r="F384" s="13" t="s">
        <v>6447</v>
      </c>
      <c r="G384" s="20" t="str">
        <f>HYPERLINK("https://semena-nn.ru/catalog/26/999000008418","Фото")</f>
        <v>Фото</v>
      </c>
      <c r="H384" s="19">
        <v>17.75</v>
      </c>
      <c r="I384" s="27"/>
      <c r="J384" s="13">
        <f>H384*I384</f>
        <v>0</v>
      </c>
    </row>
    <row r="385" spans="1:10" ht="12" customHeight="1">
      <c r="A385" s="13" t="s">
        <v>938</v>
      </c>
      <c r="B385" s="13" t="s">
        <v>939</v>
      </c>
      <c r="C385" s="13" t="s">
        <v>266</v>
      </c>
      <c r="D385" s="13" t="s">
        <v>697</v>
      </c>
      <c r="E385" s="13" t="s">
        <v>93</v>
      </c>
      <c r="F385" s="17" t="s">
        <v>940</v>
      </c>
      <c r="G385" s="20" t="str">
        <f>HYPERLINK("https://semena-nn.ru/catalog/26/1125926","Фото")</f>
        <v>Фото</v>
      </c>
      <c r="H385" s="18">
        <v>18.7</v>
      </c>
      <c r="I385" s="27"/>
      <c r="J385" s="13">
        <f>H385*I385</f>
        <v>0</v>
      </c>
    </row>
    <row r="386" spans="1:10" ht="12" customHeight="1">
      <c r="A386" s="13" t="s">
        <v>6448</v>
      </c>
      <c r="B386" s="13" t="s">
        <v>6449</v>
      </c>
      <c r="C386" s="13" t="s">
        <v>266</v>
      </c>
      <c r="D386" s="13" t="s">
        <v>87</v>
      </c>
      <c r="E386" s="13" t="s">
        <v>93</v>
      </c>
      <c r="F386" s="13" t="s">
        <v>6450</v>
      </c>
      <c r="G386" s="20" t="str">
        <f>HYPERLINK("https://semena-nn.ru/catalog/26/1304149","Фото")</f>
        <v>Фото</v>
      </c>
      <c r="H386" s="18">
        <v>21.1</v>
      </c>
      <c r="I386" s="27"/>
      <c r="J386" s="13">
        <f>H386*I386</f>
        <v>0</v>
      </c>
    </row>
    <row r="387" spans="1:10" ht="12" customHeight="1">
      <c r="A387" s="13" t="s">
        <v>941</v>
      </c>
      <c r="B387" s="13" t="s">
        <v>942</v>
      </c>
      <c r="C387" s="13" t="s">
        <v>266</v>
      </c>
      <c r="D387" s="13" t="s">
        <v>697</v>
      </c>
      <c r="E387" s="13" t="s">
        <v>93</v>
      </c>
      <c r="F387" s="13" t="s">
        <v>943</v>
      </c>
      <c r="G387" s="20" t="str">
        <f>HYPERLINK("https://semena-nn.ru/catalog/26/999000008431","Фото")</f>
        <v>Фото</v>
      </c>
      <c r="H387" s="18">
        <v>29.7</v>
      </c>
      <c r="I387" s="27"/>
      <c r="J387" s="13">
        <f>H387*I387</f>
        <v>0</v>
      </c>
    </row>
    <row r="388" spans="1:10" ht="12" customHeight="1">
      <c r="A388" s="13" t="s">
        <v>944</v>
      </c>
      <c r="B388" s="13" t="s">
        <v>945</v>
      </c>
      <c r="C388" s="13" t="s">
        <v>266</v>
      </c>
      <c r="D388" s="13" t="s">
        <v>697</v>
      </c>
      <c r="E388" s="13" t="s">
        <v>93</v>
      </c>
      <c r="F388" s="13" t="s">
        <v>946</v>
      </c>
      <c r="G388" s="20" t="str">
        <f>HYPERLINK("http://semena-nn.ru/catalog/26/999000006698","Фото")</f>
        <v>Фото</v>
      </c>
      <c r="H388" s="18">
        <v>18.7</v>
      </c>
      <c r="I388" s="27"/>
      <c r="J388" s="13">
        <f>H388*I388</f>
        <v>0</v>
      </c>
    </row>
    <row r="389" spans="1:10" ht="12" customHeight="1">
      <c r="A389" s="13" t="s">
        <v>8776</v>
      </c>
      <c r="B389" s="13" t="s">
        <v>8777</v>
      </c>
      <c r="C389" s="13" t="s">
        <v>266</v>
      </c>
      <c r="D389" s="13" t="s">
        <v>8717</v>
      </c>
      <c r="E389" s="13" t="s">
        <v>93</v>
      </c>
      <c r="F389" s="13" t="s">
        <v>8778</v>
      </c>
      <c r="G389" s="20" t="str">
        <f>HYPERLINK("https://semena-nn.ru/catalog/26/999000012185","Фото")</f>
        <v>Фото</v>
      </c>
      <c r="H389" s="15">
        <v>19</v>
      </c>
      <c r="I389" s="27"/>
      <c r="J389" s="13">
        <f>H389*I389</f>
        <v>0</v>
      </c>
    </row>
    <row r="390" spans="1:10" ht="12" customHeight="1">
      <c r="A390" s="13" t="s">
        <v>5195</v>
      </c>
      <c r="B390" s="13" t="s">
        <v>5196</v>
      </c>
      <c r="C390" s="13" t="s">
        <v>266</v>
      </c>
      <c r="D390" s="13" t="s">
        <v>5136</v>
      </c>
      <c r="E390" s="13" t="s">
        <v>93</v>
      </c>
      <c r="F390" s="13" t="s">
        <v>5197</v>
      </c>
      <c r="G390" s="20" t="str">
        <f>HYPERLINK("https://semena-nn.ru/catalog/26/888000000631","Фото")</f>
        <v>Фото</v>
      </c>
      <c r="H390" s="18">
        <v>31.5</v>
      </c>
      <c r="I390" s="27"/>
      <c r="J390" s="13">
        <f>H390*I390</f>
        <v>0</v>
      </c>
    </row>
    <row r="391" spans="1:10" ht="12" customHeight="1">
      <c r="A391" s="13" t="s">
        <v>947</v>
      </c>
      <c r="B391" s="13" t="s">
        <v>948</v>
      </c>
      <c r="C391" s="13" t="s">
        <v>266</v>
      </c>
      <c r="D391" s="13" t="s">
        <v>697</v>
      </c>
      <c r="E391" s="13" t="s">
        <v>93</v>
      </c>
      <c r="F391" s="13" t="s">
        <v>949</v>
      </c>
      <c r="G391" s="20" t="str">
        <f>HYPERLINK("http://semena-nn.ru/catalog/26/999000001178","Фото")</f>
        <v>Фото</v>
      </c>
      <c r="H391" s="18">
        <v>18.8</v>
      </c>
      <c r="I391" s="27"/>
      <c r="J391" s="13">
        <f>H391*I391</f>
        <v>0</v>
      </c>
    </row>
    <row r="392" spans="1:10" ht="12" customHeight="1">
      <c r="A392" s="13" t="s">
        <v>6451</v>
      </c>
      <c r="B392" s="13" t="s">
        <v>6452</v>
      </c>
      <c r="C392" s="13" t="s">
        <v>266</v>
      </c>
      <c r="D392" s="13" t="s">
        <v>87</v>
      </c>
      <c r="E392" s="13" t="s">
        <v>93</v>
      </c>
      <c r="F392" s="13" t="s">
        <v>6453</v>
      </c>
      <c r="G392" s="20" t="str">
        <f>HYPERLINK("https://semena-nn.ru/catalog/26/1125813","Фото")</f>
        <v>Фото</v>
      </c>
      <c r="H392" s="18">
        <v>18.3</v>
      </c>
      <c r="I392" s="27"/>
      <c r="J392" s="13">
        <f>H392*I392</f>
        <v>0</v>
      </c>
    </row>
    <row r="393" spans="1:10" ht="12" customHeight="1">
      <c r="A393" s="13" t="s">
        <v>3611</v>
      </c>
      <c r="B393" s="13" t="s">
        <v>3612</v>
      </c>
      <c r="C393" s="13" t="s">
        <v>266</v>
      </c>
      <c r="D393" s="13" t="s">
        <v>3475</v>
      </c>
      <c r="E393" s="13" t="s">
        <v>93</v>
      </c>
      <c r="F393" s="13" t="s">
        <v>3613</v>
      </c>
      <c r="G393" s="20" t="str">
        <f>HYPERLINK("http://semena-nn.ru/catalog/26/113752","Фото")</f>
        <v>Фото</v>
      </c>
      <c r="H393" s="18">
        <v>18.7</v>
      </c>
      <c r="I393" s="27"/>
      <c r="J393" s="13">
        <f>H393*I393</f>
        <v>0</v>
      </c>
    </row>
    <row r="394" spans="1:10" ht="12" customHeight="1">
      <c r="A394" s="13" t="s">
        <v>8779</v>
      </c>
      <c r="B394" s="13" t="s">
        <v>8780</v>
      </c>
      <c r="C394" s="13" t="s">
        <v>266</v>
      </c>
      <c r="D394" s="13" t="s">
        <v>8717</v>
      </c>
      <c r="E394" s="13" t="s">
        <v>93</v>
      </c>
      <c r="F394" s="17" t="s">
        <v>8781</v>
      </c>
      <c r="G394" s="20" t="str">
        <f>HYPERLINK("https://semena-nn.ru/catalog/26/1310953","Фото")</f>
        <v>Фото</v>
      </c>
      <c r="H394" s="15">
        <v>19</v>
      </c>
      <c r="I394" s="27"/>
      <c r="J394" s="13">
        <f>H394*I394</f>
        <v>0</v>
      </c>
    </row>
    <row r="395" spans="1:10" ht="12" customHeight="1">
      <c r="A395" s="13" t="s">
        <v>3614</v>
      </c>
      <c r="B395" s="13" t="s">
        <v>3615</v>
      </c>
      <c r="C395" s="13" t="s">
        <v>266</v>
      </c>
      <c r="D395" s="13" t="s">
        <v>3475</v>
      </c>
      <c r="E395" s="13" t="s">
        <v>93</v>
      </c>
      <c r="F395" s="13" t="s">
        <v>3616</v>
      </c>
      <c r="G395" s="20" t="str">
        <f>HYPERLINK("http://www.semena-nn.ru/catalog/26/1310007","Фото")</f>
        <v>Фото</v>
      </c>
      <c r="H395" s="18">
        <v>29.4</v>
      </c>
      <c r="I395" s="27"/>
      <c r="J395" s="13">
        <f>H395*I395</f>
        <v>0</v>
      </c>
    </row>
    <row r="396" spans="1:10" ht="12" customHeight="1">
      <c r="A396" s="13" t="s">
        <v>950</v>
      </c>
      <c r="B396" s="13" t="s">
        <v>951</v>
      </c>
      <c r="C396" s="13" t="s">
        <v>266</v>
      </c>
      <c r="D396" s="13" t="s">
        <v>697</v>
      </c>
      <c r="E396" s="13" t="s">
        <v>93</v>
      </c>
      <c r="F396" s="13" t="s">
        <v>952</v>
      </c>
      <c r="G396" s="20" t="str">
        <f>HYPERLINK("https://semena-nn.ru/catalog/26/888000000605","Фото")</f>
        <v>Фото</v>
      </c>
      <c r="H396" s="18">
        <v>17.8</v>
      </c>
      <c r="I396" s="27"/>
      <c r="J396" s="13">
        <f>H396*I396</f>
        <v>0</v>
      </c>
    </row>
    <row r="397" spans="1:10" ht="12" customHeight="1">
      <c r="A397" s="13" t="s">
        <v>5198</v>
      </c>
      <c r="B397" s="13" t="s">
        <v>5199</v>
      </c>
      <c r="C397" s="13" t="s">
        <v>266</v>
      </c>
      <c r="D397" s="13" t="s">
        <v>5136</v>
      </c>
      <c r="E397" s="13" t="s">
        <v>93</v>
      </c>
      <c r="F397" s="13" t="s">
        <v>5200</v>
      </c>
      <c r="G397" s="20" t="str">
        <f>HYPERLINK("https://semena-nn.ru/catalog/26/888000000632","Фото")</f>
        <v>Фото</v>
      </c>
      <c r="H397" s="18">
        <v>31.5</v>
      </c>
      <c r="I397" s="27"/>
      <c r="J397" s="13">
        <f>H397*I397</f>
        <v>0</v>
      </c>
    </row>
    <row r="398" spans="1:10" ht="12" customHeight="1">
      <c r="A398" s="13" t="s">
        <v>953</v>
      </c>
      <c r="B398" s="13" t="s">
        <v>954</v>
      </c>
      <c r="C398" s="13" t="s">
        <v>266</v>
      </c>
      <c r="D398" s="13" t="s">
        <v>697</v>
      </c>
      <c r="E398" s="13" t="s">
        <v>93</v>
      </c>
      <c r="F398" s="13" t="s">
        <v>955</v>
      </c>
      <c r="G398" s="20" t="str">
        <f>HYPERLINK("https://semena-nn.ru/catalog/26/1311042","Фото")</f>
        <v>Фото</v>
      </c>
      <c r="H398" s="18">
        <v>18.7</v>
      </c>
      <c r="I398" s="27"/>
      <c r="J398" s="13">
        <f>H398*I398</f>
        <v>0</v>
      </c>
    </row>
    <row r="399" spans="1:10" ht="12" customHeight="1">
      <c r="A399" s="13" t="s">
        <v>956</v>
      </c>
      <c r="B399" s="13" t="s">
        <v>957</v>
      </c>
      <c r="C399" s="13" t="s">
        <v>266</v>
      </c>
      <c r="D399" s="13" t="s">
        <v>697</v>
      </c>
      <c r="E399" s="13" t="s">
        <v>93</v>
      </c>
      <c r="F399" s="13" t="s">
        <v>958</v>
      </c>
      <c r="G399" s="20" t="str">
        <f>HYPERLINK("https://semena-nn.ru/catalog/26/1116865","Фото")</f>
        <v>Фото</v>
      </c>
      <c r="H399" s="18">
        <v>18.7</v>
      </c>
      <c r="I399" s="27"/>
      <c r="J399" s="13">
        <f>H399*I399</f>
        <v>0</v>
      </c>
    </row>
    <row r="400" spans="1:10" ht="12" customHeight="1">
      <c r="A400" s="13" t="s">
        <v>7814</v>
      </c>
      <c r="B400" s="13" t="s">
        <v>7815</v>
      </c>
      <c r="C400" s="13" t="s">
        <v>266</v>
      </c>
      <c r="D400" s="13" t="s">
        <v>7728</v>
      </c>
      <c r="E400" s="13" t="s">
        <v>93</v>
      </c>
      <c r="F400" s="13" t="s">
        <v>7816</v>
      </c>
      <c r="G400" s="20" t="str">
        <f>HYPERLINK("https://semena-nn.ru/catalog/26/1119138","Фото")</f>
        <v>Фото</v>
      </c>
      <c r="H400" s="15">
        <v>30</v>
      </c>
      <c r="I400" s="27"/>
      <c r="J400" s="13">
        <f>H400*I400</f>
        <v>0</v>
      </c>
    </row>
    <row r="401" spans="1:10" ht="12" customHeight="1">
      <c r="A401" s="13" t="s">
        <v>264</v>
      </c>
      <c r="B401" s="13" t="s">
        <v>265</v>
      </c>
      <c r="C401" s="13" t="s">
        <v>266</v>
      </c>
      <c r="D401" s="13" t="s">
        <v>28</v>
      </c>
      <c r="E401" s="13" t="s">
        <v>93</v>
      </c>
      <c r="F401" s="13" t="s">
        <v>267</v>
      </c>
      <c r="G401" s="20" t="str">
        <f>HYPERLINK("https://semena-nn.ru/catalog/26/888000000572","Фото")</f>
        <v>Фото</v>
      </c>
      <c r="H401" s="19">
        <v>19.850000000000001</v>
      </c>
      <c r="I401" s="27"/>
      <c r="J401" s="13">
        <f>H401*I401</f>
        <v>0</v>
      </c>
    </row>
    <row r="402" spans="1:10" ht="12" customHeight="1">
      <c r="A402" s="13" t="s">
        <v>5201</v>
      </c>
      <c r="B402" s="13" t="s">
        <v>5202</v>
      </c>
      <c r="C402" s="13" t="s">
        <v>266</v>
      </c>
      <c r="D402" s="13" t="s">
        <v>5136</v>
      </c>
      <c r="E402" s="13" t="s">
        <v>93</v>
      </c>
      <c r="F402" s="13" t="s">
        <v>5203</v>
      </c>
      <c r="G402" s="20" t="str">
        <f>HYPERLINK("https://semena-nn.ru/catalog/26/888000000633","Фото")</f>
        <v>Фото</v>
      </c>
      <c r="H402" s="18">
        <v>31.5</v>
      </c>
      <c r="I402" s="27"/>
      <c r="J402" s="13">
        <f>H402*I402</f>
        <v>0</v>
      </c>
    </row>
    <row r="403" spans="1:10" ht="12" customHeight="1">
      <c r="A403" s="13" t="s">
        <v>5204</v>
      </c>
      <c r="B403" s="13" t="s">
        <v>5205</v>
      </c>
      <c r="C403" s="13" t="s">
        <v>270</v>
      </c>
      <c r="D403" s="13" t="s">
        <v>5136</v>
      </c>
      <c r="E403" s="13" t="s">
        <v>93</v>
      </c>
      <c r="F403" s="13" t="s">
        <v>5206</v>
      </c>
      <c r="G403" s="20" t="str">
        <f>HYPERLINK("https://semena-nn.ru/catalog/28/888000000634","Фото")</f>
        <v>Фото</v>
      </c>
      <c r="H403" s="18">
        <v>31.5</v>
      </c>
      <c r="I403" s="27"/>
      <c r="J403" s="13">
        <f>H403*I403</f>
        <v>0</v>
      </c>
    </row>
    <row r="404" spans="1:10" ht="12" customHeight="1">
      <c r="A404" s="13" t="s">
        <v>959</v>
      </c>
      <c r="B404" s="13" t="s">
        <v>960</v>
      </c>
      <c r="C404" s="13" t="s">
        <v>270</v>
      </c>
      <c r="D404" s="13" t="s">
        <v>697</v>
      </c>
      <c r="E404" s="13" t="s">
        <v>93</v>
      </c>
      <c r="F404" s="13" t="s">
        <v>961</v>
      </c>
      <c r="G404" s="20" t="str">
        <f>HYPERLINK("https://semena-nn.ru/catalog/28/999000019961","Фото")</f>
        <v>Фото</v>
      </c>
      <c r="H404" s="19">
        <v>31.45</v>
      </c>
      <c r="I404" s="27"/>
      <c r="J404" s="13">
        <f>H404*I404</f>
        <v>0</v>
      </c>
    </row>
    <row r="405" spans="1:10" ht="12" customHeight="1">
      <c r="A405" s="13" t="s">
        <v>6953</v>
      </c>
      <c r="B405" s="13" t="s">
        <v>6954</v>
      </c>
      <c r="C405" s="13" t="s">
        <v>270</v>
      </c>
      <c r="D405" s="13" t="s">
        <v>6927</v>
      </c>
      <c r="E405" s="13" t="s">
        <v>93</v>
      </c>
      <c r="F405" s="13" t="s">
        <v>6955</v>
      </c>
      <c r="G405" s="20" t="str">
        <f>HYPERLINK("https://semena-nn.ru/catalog/28/999000011656","Фото")</f>
        <v>Фото</v>
      </c>
      <c r="H405" s="18">
        <v>28.4</v>
      </c>
      <c r="I405" s="27"/>
      <c r="J405" s="13">
        <f>H405*I405</f>
        <v>0</v>
      </c>
    </row>
    <row r="406" spans="1:10" ht="12" customHeight="1">
      <c r="A406" s="13" t="s">
        <v>6956</v>
      </c>
      <c r="B406" s="13" t="s">
        <v>6957</v>
      </c>
      <c r="C406" s="13" t="s">
        <v>270</v>
      </c>
      <c r="D406" s="13" t="s">
        <v>6927</v>
      </c>
      <c r="E406" s="13" t="s">
        <v>93</v>
      </c>
      <c r="F406" s="13" t="s">
        <v>6958</v>
      </c>
      <c r="G406" s="20" t="str">
        <f>HYPERLINK("https://semena-nn.ru/catalog/28/999000011657","Фото")</f>
        <v>Фото</v>
      </c>
      <c r="H406" s="18">
        <v>53.9</v>
      </c>
      <c r="I406" s="27"/>
      <c r="J406" s="13">
        <f>H406*I406</f>
        <v>0</v>
      </c>
    </row>
    <row r="407" spans="1:10" ht="12" customHeight="1">
      <c r="A407" s="13" t="s">
        <v>7223</v>
      </c>
      <c r="B407" s="13" t="s">
        <v>7224</v>
      </c>
      <c r="C407" s="13" t="s">
        <v>270</v>
      </c>
      <c r="D407" s="13" t="s">
        <v>7148</v>
      </c>
      <c r="E407" s="13" t="s">
        <v>93</v>
      </c>
      <c r="F407" s="13" t="s">
        <v>7225</v>
      </c>
      <c r="G407" s="20" t="str">
        <f>HYPERLINK("https://semena-nn.ru/catalog/28/1313713","Фото")</f>
        <v>Фото</v>
      </c>
      <c r="H407" s="18">
        <v>99.5</v>
      </c>
      <c r="I407" s="27"/>
      <c r="J407" s="13">
        <f>H407*I407</f>
        <v>0</v>
      </c>
    </row>
    <row r="408" spans="1:10" ht="12" customHeight="1">
      <c r="A408" s="13" t="s">
        <v>3143</v>
      </c>
      <c r="B408" s="13" t="s">
        <v>3144</v>
      </c>
      <c r="C408" s="13" t="s">
        <v>270</v>
      </c>
      <c r="D408" s="13" t="s">
        <v>697</v>
      </c>
      <c r="E408" s="13" t="s">
        <v>3064</v>
      </c>
      <c r="F408" s="13" t="s">
        <v>3145</v>
      </c>
      <c r="G408" s="20" t="str">
        <f>HYPERLINK("http://semena-nn.ru/catalog/2/28/big_1288632.jpg","Фото")</f>
        <v>Фото</v>
      </c>
      <c r="H408" s="19">
        <v>14.85</v>
      </c>
      <c r="I408" s="27"/>
      <c r="J408" s="13">
        <f>H408*I408</f>
        <v>0</v>
      </c>
    </row>
    <row r="409" spans="1:10" ht="12" customHeight="1">
      <c r="A409" s="13" t="s">
        <v>3617</v>
      </c>
      <c r="B409" s="13" t="s">
        <v>3618</v>
      </c>
      <c r="C409" s="13" t="s">
        <v>270</v>
      </c>
      <c r="D409" s="13" t="s">
        <v>3475</v>
      </c>
      <c r="E409" s="13" t="s">
        <v>93</v>
      </c>
      <c r="F409" s="13" t="s">
        <v>3619</v>
      </c>
      <c r="G409" s="20" t="str">
        <f>HYPERLINK("https://semena-nn.ru/catalog/28/999000003907","Фото")</f>
        <v>Фото</v>
      </c>
      <c r="H409" s="18">
        <v>51.8</v>
      </c>
      <c r="I409" s="27"/>
      <c r="J409" s="13">
        <f>H409*I409</f>
        <v>0</v>
      </c>
    </row>
    <row r="410" spans="1:10" ht="12" customHeight="1">
      <c r="A410" s="13" t="s">
        <v>7226</v>
      </c>
      <c r="B410" s="13" t="s">
        <v>7227</v>
      </c>
      <c r="C410" s="13" t="s">
        <v>270</v>
      </c>
      <c r="D410" s="13" t="s">
        <v>7148</v>
      </c>
      <c r="E410" s="13" t="s">
        <v>93</v>
      </c>
      <c r="F410" s="13"/>
      <c r="G410" s="13"/>
      <c r="H410" s="18">
        <v>105.9</v>
      </c>
      <c r="I410" s="27"/>
      <c r="J410" s="13">
        <f>H410*I410</f>
        <v>0</v>
      </c>
    </row>
    <row r="411" spans="1:10" ht="12" customHeight="1">
      <c r="A411" s="13" t="s">
        <v>8782</v>
      </c>
      <c r="B411" s="13" t="s">
        <v>8783</v>
      </c>
      <c r="C411" s="13" t="s">
        <v>270</v>
      </c>
      <c r="D411" s="13" t="s">
        <v>8717</v>
      </c>
      <c r="E411" s="13" t="s">
        <v>93</v>
      </c>
      <c r="F411" s="13" t="s">
        <v>8784</v>
      </c>
      <c r="G411" s="20" t="str">
        <f>HYPERLINK("https://semena-nn.ru/catalog/28/1309696","Фото")</f>
        <v>Фото</v>
      </c>
      <c r="H411" s="18">
        <v>22.5</v>
      </c>
      <c r="I411" s="27"/>
      <c r="J411" s="13">
        <f>H411*I411</f>
        <v>0</v>
      </c>
    </row>
    <row r="412" spans="1:10" ht="12" customHeight="1">
      <c r="A412" s="13" t="s">
        <v>8785</v>
      </c>
      <c r="B412" s="13" t="s">
        <v>8786</v>
      </c>
      <c r="C412" s="13" t="s">
        <v>270</v>
      </c>
      <c r="D412" s="13" t="s">
        <v>8717</v>
      </c>
      <c r="E412" s="13" t="s">
        <v>93</v>
      </c>
      <c r="F412" s="13" t="s">
        <v>8787</v>
      </c>
      <c r="G412" s="20" t="str">
        <f>HYPERLINK("https://semena-nn.ru/catalog/28/999000011592","Фото")</f>
        <v>Фото</v>
      </c>
      <c r="H412" s="19">
        <v>31.05</v>
      </c>
      <c r="I412" s="27"/>
      <c r="J412" s="13">
        <f>H412*I412</f>
        <v>0</v>
      </c>
    </row>
    <row r="413" spans="1:10" ht="12" customHeight="1">
      <c r="A413" s="13" t="s">
        <v>8500</v>
      </c>
      <c r="B413" s="13" t="s">
        <v>8501</v>
      </c>
      <c r="C413" s="13" t="s">
        <v>270</v>
      </c>
      <c r="D413" s="13" t="s">
        <v>8498</v>
      </c>
      <c r="E413" s="13" t="s">
        <v>93</v>
      </c>
      <c r="F413" s="13" t="s">
        <v>8502</v>
      </c>
      <c r="G413" s="20" t="str">
        <f>HYPERLINK("https://semena-nn.ru/catalog/28/999000012092","Фото")</f>
        <v>Фото</v>
      </c>
      <c r="H413" s="18">
        <v>72.3</v>
      </c>
      <c r="I413" s="27"/>
      <c r="J413" s="13">
        <f>H413*I413</f>
        <v>0</v>
      </c>
    </row>
    <row r="414" spans="1:10" ht="12" customHeight="1">
      <c r="A414" s="13" t="s">
        <v>8788</v>
      </c>
      <c r="B414" s="13" t="s">
        <v>8789</v>
      </c>
      <c r="C414" s="13" t="s">
        <v>270</v>
      </c>
      <c r="D414" s="13" t="s">
        <v>8717</v>
      </c>
      <c r="E414" s="13" t="s">
        <v>93</v>
      </c>
      <c r="F414" s="13" t="s">
        <v>8790</v>
      </c>
      <c r="G414" s="20" t="str">
        <f>HYPERLINK("http://www.semena-nn.ru/catalog/28/494","Фото")</f>
        <v>Фото</v>
      </c>
      <c r="H414" s="18">
        <v>28.3</v>
      </c>
      <c r="I414" s="27"/>
      <c r="J414" s="13">
        <f>H414*I414</f>
        <v>0</v>
      </c>
    </row>
    <row r="415" spans="1:10" ht="12" customHeight="1">
      <c r="A415" s="13" t="s">
        <v>5875</v>
      </c>
      <c r="B415" s="13" t="s">
        <v>5876</v>
      </c>
      <c r="C415" s="13" t="s">
        <v>270</v>
      </c>
      <c r="D415" s="13" t="s">
        <v>5834</v>
      </c>
      <c r="E415" s="13" t="s">
        <v>93</v>
      </c>
      <c r="F415" s="13" t="s">
        <v>5877</v>
      </c>
      <c r="G415" s="20" t="str">
        <f>HYPERLINK("http://semena-nn.ru/catalog/28/951","Фото")</f>
        <v>Фото</v>
      </c>
      <c r="H415" s="19">
        <v>32.03</v>
      </c>
      <c r="I415" s="27"/>
      <c r="J415" s="13">
        <f>H415*I415</f>
        <v>0</v>
      </c>
    </row>
    <row r="416" spans="1:10" ht="12" customHeight="1">
      <c r="A416" s="13" t="s">
        <v>6959</v>
      </c>
      <c r="B416" s="13" t="s">
        <v>6960</v>
      </c>
      <c r="C416" s="13" t="s">
        <v>270</v>
      </c>
      <c r="D416" s="13" t="s">
        <v>6927</v>
      </c>
      <c r="E416" s="13" t="s">
        <v>93</v>
      </c>
      <c r="F416" s="13" t="s">
        <v>6961</v>
      </c>
      <c r="G416" s="20" t="str">
        <f>HYPERLINK("https://semena-nn.ru/catalog/28/1310680","Фото")</f>
        <v>Фото</v>
      </c>
      <c r="H416" s="18">
        <v>27.5</v>
      </c>
      <c r="I416" s="27"/>
      <c r="J416" s="13">
        <f>H416*I416</f>
        <v>0</v>
      </c>
    </row>
    <row r="417" spans="1:10" ht="12" customHeight="1">
      <c r="A417" s="13" t="s">
        <v>962</v>
      </c>
      <c r="B417" s="13" t="s">
        <v>963</v>
      </c>
      <c r="C417" s="13" t="s">
        <v>270</v>
      </c>
      <c r="D417" s="13" t="s">
        <v>697</v>
      </c>
      <c r="E417" s="13" t="s">
        <v>93</v>
      </c>
      <c r="F417" s="13" t="s">
        <v>964</v>
      </c>
      <c r="G417" s="20" t="str">
        <f>HYPERLINK("https://semena-nn.ru/catalog/28/888000001487","Фото")</f>
        <v>Фото</v>
      </c>
      <c r="H417" s="18">
        <v>31.9</v>
      </c>
      <c r="I417" s="27"/>
      <c r="J417" s="13">
        <f>H417*I417</f>
        <v>0</v>
      </c>
    </row>
    <row r="418" spans="1:10" ht="12" customHeight="1">
      <c r="A418" s="13" t="s">
        <v>8791</v>
      </c>
      <c r="B418" s="13" t="s">
        <v>8792</v>
      </c>
      <c r="C418" s="13" t="s">
        <v>270</v>
      </c>
      <c r="D418" s="13" t="s">
        <v>8717</v>
      </c>
      <c r="E418" s="13" t="s">
        <v>93</v>
      </c>
      <c r="F418" s="13" t="s">
        <v>8793</v>
      </c>
      <c r="G418" s="20" t="str">
        <f>HYPERLINK("http://www.semena-nn.ru/catalog/28/1304076","Фото")</f>
        <v>Фото</v>
      </c>
      <c r="H418" s="15">
        <v>56</v>
      </c>
      <c r="I418" s="27"/>
      <c r="J418" s="13">
        <f>H418*I418</f>
        <v>0</v>
      </c>
    </row>
    <row r="419" spans="1:10" ht="12" customHeight="1">
      <c r="A419" s="13" t="s">
        <v>3146</v>
      </c>
      <c r="B419" s="13" t="s">
        <v>3147</v>
      </c>
      <c r="C419" s="13" t="s">
        <v>270</v>
      </c>
      <c r="D419" s="13" t="s">
        <v>697</v>
      </c>
      <c r="E419" s="13" t="s">
        <v>3064</v>
      </c>
      <c r="F419" s="13" t="s">
        <v>3148</v>
      </c>
      <c r="G419" s="20" t="str">
        <f>HYPERLINK("http://www.semena-nn.ru/catalog/28/1288106","Фото")</f>
        <v>Фото</v>
      </c>
      <c r="H419" s="19">
        <v>14.85</v>
      </c>
      <c r="I419" s="27"/>
      <c r="J419" s="13">
        <f>H419*I419</f>
        <v>0</v>
      </c>
    </row>
    <row r="420" spans="1:10" ht="12" customHeight="1">
      <c r="A420" s="13" t="s">
        <v>268</v>
      </c>
      <c r="B420" s="13" t="s">
        <v>269</v>
      </c>
      <c r="C420" s="13" t="s">
        <v>270</v>
      </c>
      <c r="D420" s="13" t="s">
        <v>28</v>
      </c>
      <c r="E420" s="13" t="s">
        <v>93</v>
      </c>
      <c r="F420" s="13" t="s">
        <v>271</v>
      </c>
      <c r="G420" s="20" t="str">
        <f>HYPERLINK("https://semena-nn.ru/catalog/28/999000010030","Фото")</f>
        <v>Фото</v>
      </c>
      <c r="H420" s="19">
        <v>146.58000000000001</v>
      </c>
      <c r="I420" s="27"/>
      <c r="J420" s="13">
        <f>H420*I420</f>
        <v>0</v>
      </c>
    </row>
    <row r="421" spans="1:10" ht="12" customHeight="1">
      <c r="A421" s="13" t="s">
        <v>6962</v>
      </c>
      <c r="B421" s="13" t="s">
        <v>6963</v>
      </c>
      <c r="C421" s="13" t="s">
        <v>270</v>
      </c>
      <c r="D421" s="13" t="s">
        <v>6927</v>
      </c>
      <c r="E421" s="13" t="s">
        <v>93</v>
      </c>
      <c r="F421" s="13" t="s">
        <v>6964</v>
      </c>
      <c r="G421" s="20" t="str">
        <f>HYPERLINK("https://semena-nn.ru/catalog/28/999000011659","Фото")</f>
        <v>Фото</v>
      </c>
      <c r="H421" s="18">
        <v>24.1</v>
      </c>
      <c r="I421" s="27"/>
      <c r="J421" s="13">
        <f>H421*I421</f>
        <v>0</v>
      </c>
    </row>
    <row r="422" spans="1:10" ht="12" customHeight="1">
      <c r="A422" s="13" t="s">
        <v>5878</v>
      </c>
      <c r="B422" s="13" t="s">
        <v>5879</v>
      </c>
      <c r="C422" s="13" t="s">
        <v>270</v>
      </c>
      <c r="D422" s="13" t="s">
        <v>5834</v>
      </c>
      <c r="E422" s="13" t="s">
        <v>93</v>
      </c>
      <c r="F422" s="13" t="s">
        <v>5880</v>
      </c>
      <c r="G422" s="20" t="str">
        <f>HYPERLINK("https://semena-nn.ru/catalog/28/888000001523","Фото")</f>
        <v>Фото</v>
      </c>
      <c r="H422" s="19">
        <v>28.35</v>
      </c>
      <c r="I422" s="27"/>
      <c r="J422" s="13">
        <f>H422*I422</f>
        <v>0</v>
      </c>
    </row>
    <row r="423" spans="1:10" ht="12" customHeight="1">
      <c r="A423" s="13" t="s">
        <v>7817</v>
      </c>
      <c r="B423" s="13" t="s">
        <v>7818</v>
      </c>
      <c r="C423" s="13" t="s">
        <v>270</v>
      </c>
      <c r="D423" s="13" t="s">
        <v>7728</v>
      </c>
      <c r="E423" s="13" t="s">
        <v>93</v>
      </c>
      <c r="F423" s="13" t="s">
        <v>7819</v>
      </c>
      <c r="G423" s="20" t="str">
        <f>HYPERLINK("https://semena-nn.ru/catalog/28/1308155","Фото")</f>
        <v>Фото</v>
      </c>
      <c r="H423" s="18">
        <v>20.9</v>
      </c>
      <c r="I423" s="27"/>
      <c r="J423" s="13">
        <f>H423*I423</f>
        <v>0</v>
      </c>
    </row>
    <row r="424" spans="1:10" ht="12" customHeight="1">
      <c r="A424" s="13" t="s">
        <v>965</v>
      </c>
      <c r="B424" s="13" t="s">
        <v>966</v>
      </c>
      <c r="C424" s="13" t="s">
        <v>266</v>
      </c>
      <c r="D424" s="13" t="s">
        <v>697</v>
      </c>
      <c r="E424" s="13" t="s">
        <v>93</v>
      </c>
      <c r="F424" s="13" t="s">
        <v>967</v>
      </c>
      <c r="G424" s="20" t="str">
        <f>HYPERLINK("https://semena-nn.ru/catalog/26/1118320","Фото")</f>
        <v>Фото</v>
      </c>
      <c r="H424" s="18">
        <v>18.7</v>
      </c>
      <c r="I424" s="27"/>
      <c r="J424" s="13">
        <f>H424*I424</f>
        <v>0</v>
      </c>
    </row>
    <row r="425" spans="1:10" ht="12" customHeight="1">
      <c r="A425" s="13" t="s">
        <v>5207</v>
      </c>
      <c r="B425" s="13" t="s">
        <v>5208</v>
      </c>
      <c r="C425" s="13" t="s">
        <v>86</v>
      </c>
      <c r="D425" s="13" t="s">
        <v>5136</v>
      </c>
      <c r="E425" s="13" t="s">
        <v>93</v>
      </c>
      <c r="F425" s="13" t="s">
        <v>5209</v>
      </c>
      <c r="G425" s="20" t="str">
        <f>HYPERLINK("https://semena-nn.ru/catalog/29/888000007445","Фото")</f>
        <v>Фото</v>
      </c>
      <c r="H425" s="15">
        <v>60</v>
      </c>
      <c r="I425" s="27"/>
      <c r="J425" s="13">
        <f>H425*I425</f>
        <v>0</v>
      </c>
    </row>
    <row r="426" spans="1:10" ht="12" customHeight="1">
      <c r="A426" s="13" t="s">
        <v>5210</v>
      </c>
      <c r="B426" s="13" t="s">
        <v>5211</v>
      </c>
      <c r="C426" s="13" t="s">
        <v>86</v>
      </c>
      <c r="D426" s="13" t="s">
        <v>5136</v>
      </c>
      <c r="E426" s="13" t="s">
        <v>93</v>
      </c>
      <c r="F426" s="13" t="s">
        <v>5212</v>
      </c>
      <c r="G426" s="20" t="str">
        <f>HYPERLINK("https://semena-nn.ru/catalog/29/888000007446","Фото")</f>
        <v>Фото</v>
      </c>
      <c r="H426" s="15">
        <v>63</v>
      </c>
      <c r="I426" s="27"/>
      <c r="J426" s="13">
        <f>H426*I426</f>
        <v>0</v>
      </c>
    </row>
    <row r="427" spans="1:10" ht="12" customHeight="1">
      <c r="A427" s="13" t="s">
        <v>7228</v>
      </c>
      <c r="B427" s="13" t="s">
        <v>7229</v>
      </c>
      <c r="C427" s="13" t="s">
        <v>208</v>
      </c>
      <c r="D427" s="13" t="s">
        <v>7148</v>
      </c>
      <c r="E427" s="13" t="s">
        <v>93</v>
      </c>
      <c r="F427" s="13" t="s">
        <v>7230</v>
      </c>
      <c r="G427" s="20" t="str">
        <f>HYPERLINK("https://semena-nn.ru/catalog/53/999000009510","Фото")</f>
        <v>Фото</v>
      </c>
      <c r="H427" s="18">
        <v>249.5</v>
      </c>
      <c r="I427" s="27"/>
      <c r="J427" s="13">
        <f>H427*I427</f>
        <v>0</v>
      </c>
    </row>
    <row r="428" spans="1:10" ht="12" customHeight="1">
      <c r="A428" s="13" t="s">
        <v>968</v>
      </c>
      <c r="B428" s="13" t="s">
        <v>969</v>
      </c>
      <c r="C428" s="13" t="s">
        <v>696</v>
      </c>
      <c r="D428" s="13" t="s">
        <v>697</v>
      </c>
      <c r="E428" s="13" t="s">
        <v>93</v>
      </c>
      <c r="F428" s="13" t="s">
        <v>970</v>
      </c>
      <c r="G428" s="20" t="str">
        <f>HYPERLINK("http://semena-nn.ru/catalog/38/1288137","Фото")</f>
        <v>Фото</v>
      </c>
      <c r="H428" s="18">
        <v>21.3</v>
      </c>
      <c r="I428" s="27"/>
      <c r="J428" s="13">
        <f>H428*I428</f>
        <v>0</v>
      </c>
    </row>
    <row r="429" spans="1:10" ht="12" customHeight="1">
      <c r="A429" s="13" t="s">
        <v>3620</v>
      </c>
      <c r="B429" s="13" t="s">
        <v>3621</v>
      </c>
      <c r="C429" s="13" t="s">
        <v>696</v>
      </c>
      <c r="D429" s="13" t="s">
        <v>3475</v>
      </c>
      <c r="E429" s="13" t="s">
        <v>93</v>
      </c>
      <c r="F429" s="13" t="s">
        <v>3622</v>
      </c>
      <c r="G429" s="20" t="str">
        <f>HYPERLINK("http://semena-nn.ru/catalog/38/1122483","Фото")</f>
        <v>Фото</v>
      </c>
      <c r="H429" s="18">
        <v>18.7</v>
      </c>
      <c r="I429" s="27"/>
      <c r="J429" s="13">
        <f>H429*I429</f>
        <v>0</v>
      </c>
    </row>
    <row r="430" spans="1:10" ht="12" customHeight="1">
      <c r="A430" s="13" t="s">
        <v>7820</v>
      </c>
      <c r="B430" s="13" t="s">
        <v>7821</v>
      </c>
      <c r="C430" s="13" t="s">
        <v>696</v>
      </c>
      <c r="D430" s="13" t="s">
        <v>7728</v>
      </c>
      <c r="E430" s="13" t="s">
        <v>93</v>
      </c>
      <c r="F430" s="13" t="s">
        <v>7822</v>
      </c>
      <c r="G430" s="20" t="str">
        <f>HYPERLINK("http://semena-nn.ru/catalog/38/1306689","Фото")</f>
        <v>Фото</v>
      </c>
      <c r="H430" s="18">
        <v>22.7</v>
      </c>
      <c r="I430" s="27"/>
      <c r="J430" s="13">
        <f>H430*I430</f>
        <v>0</v>
      </c>
    </row>
    <row r="431" spans="1:10" ht="12" customHeight="1">
      <c r="A431" s="13" t="s">
        <v>3623</v>
      </c>
      <c r="B431" s="13" t="s">
        <v>3624</v>
      </c>
      <c r="C431" s="13" t="s">
        <v>33</v>
      </c>
      <c r="D431" s="13" t="s">
        <v>3475</v>
      </c>
      <c r="E431" s="13" t="s">
        <v>93</v>
      </c>
      <c r="F431" s="13" t="s">
        <v>3625</v>
      </c>
      <c r="G431" s="20" t="str">
        <f>HYPERLINK("http://semena-nn.ru/catalog/1/999000002908","Фото")</f>
        <v>Фото</v>
      </c>
      <c r="H431" s="18">
        <v>29.2</v>
      </c>
      <c r="I431" s="27"/>
      <c r="J431" s="13">
        <f>H431*I431</f>
        <v>0</v>
      </c>
    </row>
    <row r="432" spans="1:10" ht="12" customHeight="1">
      <c r="A432" s="13" t="s">
        <v>8503</v>
      </c>
      <c r="B432" s="13" t="s">
        <v>8504</v>
      </c>
      <c r="C432" s="13" t="s">
        <v>236</v>
      </c>
      <c r="D432" s="13" t="s">
        <v>8498</v>
      </c>
      <c r="E432" s="13" t="s">
        <v>93</v>
      </c>
      <c r="F432" s="17" t="s">
        <v>8505</v>
      </c>
      <c r="G432" s="20" t="str">
        <f>HYPERLINK("http://semena-nn.ru/catalog/2/24/big_105729.jpg","Фото")</f>
        <v>Фото</v>
      </c>
      <c r="H432" s="15">
        <v>33</v>
      </c>
      <c r="I432" s="27"/>
      <c r="J432" s="13">
        <f>H432*I432</f>
        <v>0</v>
      </c>
    </row>
    <row r="433" spans="1:10" ht="12" customHeight="1">
      <c r="A433" s="13" t="s">
        <v>971</v>
      </c>
      <c r="B433" s="13" t="s">
        <v>972</v>
      </c>
      <c r="C433" s="13" t="s">
        <v>696</v>
      </c>
      <c r="D433" s="13" t="s">
        <v>697</v>
      </c>
      <c r="E433" s="13" t="s">
        <v>93</v>
      </c>
      <c r="F433" s="13" t="s">
        <v>973</v>
      </c>
      <c r="G433" s="20" t="str">
        <f>HYPERLINK("https://semena-nn.ru/catalog/38/1309925","Фото")</f>
        <v>Фото</v>
      </c>
      <c r="H433" s="18">
        <v>18.7</v>
      </c>
      <c r="I433" s="27"/>
      <c r="J433" s="13">
        <f>H433*I433</f>
        <v>0</v>
      </c>
    </row>
    <row r="434" spans="1:10" ht="12" customHeight="1">
      <c r="A434" s="13" t="s">
        <v>7823</v>
      </c>
      <c r="B434" s="13" t="s">
        <v>7824</v>
      </c>
      <c r="C434" s="13" t="s">
        <v>696</v>
      </c>
      <c r="D434" s="13" t="s">
        <v>7728</v>
      </c>
      <c r="E434" s="13" t="s">
        <v>93</v>
      </c>
      <c r="F434" s="13" t="s">
        <v>7825</v>
      </c>
      <c r="G434" s="20" t="str">
        <f>HYPERLINK("https://semena-nn.ru/catalog/38/1125510","Фото")</f>
        <v>Фото</v>
      </c>
      <c r="H434" s="18">
        <v>22.2</v>
      </c>
      <c r="I434" s="27"/>
      <c r="J434" s="13">
        <f>H434*I434</f>
        <v>0</v>
      </c>
    </row>
    <row r="435" spans="1:10" ht="12" customHeight="1">
      <c r="A435" s="13" t="s">
        <v>974</v>
      </c>
      <c r="B435" s="13" t="s">
        <v>975</v>
      </c>
      <c r="C435" s="13" t="s">
        <v>976</v>
      </c>
      <c r="D435" s="13" t="s">
        <v>697</v>
      </c>
      <c r="E435" s="13" t="s">
        <v>93</v>
      </c>
      <c r="F435" s="13" t="s">
        <v>977</v>
      </c>
      <c r="G435" s="20" t="str">
        <f>HYPERLINK("http://semena-nn.ru/catalog/2/30/big_1306028.jpg","Фото")</f>
        <v>Фото</v>
      </c>
      <c r="H435" s="18">
        <v>18.7</v>
      </c>
      <c r="I435" s="27"/>
      <c r="J435" s="13">
        <f>H435*I435</f>
        <v>0</v>
      </c>
    </row>
    <row r="436" spans="1:10" ht="12" customHeight="1">
      <c r="A436" s="13" t="s">
        <v>978</v>
      </c>
      <c r="B436" s="13" t="s">
        <v>979</v>
      </c>
      <c r="C436" s="13" t="s">
        <v>976</v>
      </c>
      <c r="D436" s="13" t="s">
        <v>697</v>
      </c>
      <c r="E436" s="13" t="s">
        <v>93</v>
      </c>
      <c r="F436" s="13" t="s">
        <v>980</v>
      </c>
      <c r="G436" s="20" t="str">
        <f>HYPERLINK("https://semena-nn.ru/catalog/30/999000009150","Фото")</f>
        <v>Фото</v>
      </c>
      <c r="H436" s="18">
        <v>18.7</v>
      </c>
      <c r="I436" s="27"/>
      <c r="J436" s="13">
        <f>H436*I436</f>
        <v>0</v>
      </c>
    </row>
    <row r="437" spans="1:10" ht="12" customHeight="1">
      <c r="A437" s="13" t="s">
        <v>981</v>
      </c>
      <c r="B437" s="13" t="s">
        <v>982</v>
      </c>
      <c r="C437" s="13" t="s">
        <v>976</v>
      </c>
      <c r="D437" s="13" t="s">
        <v>697</v>
      </c>
      <c r="E437" s="13" t="s">
        <v>93</v>
      </c>
      <c r="F437" s="13" t="s">
        <v>983</v>
      </c>
      <c r="G437" s="20" t="str">
        <f>HYPERLINK("https://semena-nn.ru/catalog/30/1311043","Фото")</f>
        <v>Фото</v>
      </c>
      <c r="H437" s="18">
        <v>18.8</v>
      </c>
      <c r="I437" s="27"/>
      <c r="J437" s="13">
        <f>H437*I437</f>
        <v>0</v>
      </c>
    </row>
    <row r="438" spans="1:10" ht="12" customHeight="1">
      <c r="A438" s="13" t="s">
        <v>984</v>
      </c>
      <c r="B438" s="13" t="s">
        <v>985</v>
      </c>
      <c r="C438" s="13" t="s">
        <v>976</v>
      </c>
      <c r="D438" s="13" t="s">
        <v>697</v>
      </c>
      <c r="E438" s="13" t="s">
        <v>93</v>
      </c>
      <c r="F438" s="13" t="s">
        <v>986</v>
      </c>
      <c r="G438" s="20" t="str">
        <f>HYPERLINK("https://semena-nn.ru/catalog/30/1312159","Фото")</f>
        <v>Фото</v>
      </c>
      <c r="H438" s="18">
        <v>17.899999999999999</v>
      </c>
      <c r="I438" s="27"/>
      <c r="J438" s="13">
        <f>H438*I438</f>
        <v>0</v>
      </c>
    </row>
    <row r="439" spans="1:10" ht="12" customHeight="1">
      <c r="A439" s="13" t="s">
        <v>987</v>
      </c>
      <c r="B439" s="13" t="s">
        <v>988</v>
      </c>
      <c r="C439" s="13" t="s">
        <v>976</v>
      </c>
      <c r="D439" s="13" t="s">
        <v>697</v>
      </c>
      <c r="E439" s="13" t="s">
        <v>93</v>
      </c>
      <c r="F439" s="13" t="s">
        <v>989</v>
      </c>
      <c r="G439" s="20" t="str">
        <f>HYPERLINK("https://semena-nn.ru/catalog/30/999000008037","Фото")</f>
        <v>Фото</v>
      </c>
      <c r="H439" s="18">
        <v>27.4</v>
      </c>
      <c r="I439" s="27"/>
      <c r="J439" s="13">
        <f>H439*I439</f>
        <v>0</v>
      </c>
    </row>
    <row r="440" spans="1:10" ht="12" customHeight="1">
      <c r="A440" s="13" t="s">
        <v>2731</v>
      </c>
      <c r="B440" s="13" t="s">
        <v>2732</v>
      </c>
      <c r="C440" s="13" t="s">
        <v>976</v>
      </c>
      <c r="D440" s="13" t="s">
        <v>697</v>
      </c>
      <c r="E440" s="13" t="s">
        <v>2636</v>
      </c>
      <c r="F440" s="13" t="s">
        <v>2733</v>
      </c>
      <c r="G440" s="20" t="str">
        <f>HYPERLINK("https://semena-nn.ru/catalog/30/91551","Фото")</f>
        <v>Фото</v>
      </c>
      <c r="H440" s="18">
        <v>7.2</v>
      </c>
      <c r="I440" s="27"/>
      <c r="J440" s="13">
        <f>H440*I440</f>
        <v>0</v>
      </c>
    </row>
    <row r="441" spans="1:10" ht="12" customHeight="1">
      <c r="A441" s="13" t="s">
        <v>7826</v>
      </c>
      <c r="B441" s="13" t="s">
        <v>7827</v>
      </c>
      <c r="C441" s="13" t="s">
        <v>976</v>
      </c>
      <c r="D441" s="13" t="s">
        <v>7728</v>
      </c>
      <c r="E441" s="13" t="s">
        <v>93</v>
      </c>
      <c r="F441" s="13" t="s">
        <v>7828</v>
      </c>
      <c r="G441" s="20" t="str">
        <f>HYPERLINK("https://semena-nn.ru/catalog/30/1120364","Фото")</f>
        <v>Фото</v>
      </c>
      <c r="H441" s="18">
        <v>29.1</v>
      </c>
      <c r="I441" s="27"/>
      <c r="J441" s="13">
        <f>H441*I441</f>
        <v>0</v>
      </c>
    </row>
    <row r="442" spans="1:10" ht="12" customHeight="1">
      <c r="A442" s="13" t="s">
        <v>2734</v>
      </c>
      <c r="B442" s="13" t="s">
        <v>2735</v>
      </c>
      <c r="C442" s="13" t="s">
        <v>976</v>
      </c>
      <c r="D442" s="13" t="s">
        <v>697</v>
      </c>
      <c r="E442" s="13" t="s">
        <v>2636</v>
      </c>
      <c r="F442" s="13" t="s">
        <v>2736</v>
      </c>
      <c r="G442" s="20" t="str">
        <f>HYPERLINK("http://semena-nn.ru/catalog/30/999000001509","Фото")</f>
        <v>Фото</v>
      </c>
      <c r="H442" s="19">
        <v>6.85</v>
      </c>
      <c r="I442" s="27"/>
      <c r="J442" s="13">
        <f>H442*I442</f>
        <v>0</v>
      </c>
    </row>
    <row r="443" spans="1:10" ht="12" customHeight="1">
      <c r="A443" s="13" t="s">
        <v>990</v>
      </c>
      <c r="B443" s="13" t="s">
        <v>991</v>
      </c>
      <c r="C443" s="13" t="s">
        <v>976</v>
      </c>
      <c r="D443" s="13" t="s">
        <v>697</v>
      </c>
      <c r="E443" s="13" t="s">
        <v>93</v>
      </c>
      <c r="F443" s="13" t="s">
        <v>992</v>
      </c>
      <c r="G443" s="20" t="str">
        <f>HYPERLINK("https://semena-nn.ru/catalog/30/888000007805","Фото")</f>
        <v>Фото</v>
      </c>
      <c r="H443" s="18">
        <v>18.7</v>
      </c>
      <c r="I443" s="27"/>
      <c r="J443" s="13">
        <f>H443*I443</f>
        <v>0</v>
      </c>
    </row>
    <row r="444" spans="1:10" ht="12" customHeight="1">
      <c r="A444" s="13" t="s">
        <v>7231</v>
      </c>
      <c r="B444" s="13" t="s">
        <v>7232</v>
      </c>
      <c r="C444" s="13" t="s">
        <v>976</v>
      </c>
      <c r="D444" s="13" t="s">
        <v>7148</v>
      </c>
      <c r="E444" s="13" t="s">
        <v>93</v>
      </c>
      <c r="F444" s="13" t="s">
        <v>7233</v>
      </c>
      <c r="G444" s="20" t="str">
        <f>HYPERLINK("https://semena-nn.ru/catalog/30/888000007693","Фото")</f>
        <v>Фото</v>
      </c>
      <c r="H444" s="18">
        <v>60.5</v>
      </c>
      <c r="I444" s="27"/>
      <c r="J444" s="13">
        <f>H444*I444</f>
        <v>0</v>
      </c>
    </row>
    <row r="445" spans="1:10" ht="12" customHeight="1">
      <c r="A445" s="13" t="s">
        <v>7234</v>
      </c>
      <c r="B445" s="13" t="s">
        <v>7235</v>
      </c>
      <c r="C445" s="13" t="s">
        <v>976</v>
      </c>
      <c r="D445" s="13" t="s">
        <v>7148</v>
      </c>
      <c r="E445" s="13" t="s">
        <v>93</v>
      </c>
      <c r="F445" s="13" t="s">
        <v>7236</v>
      </c>
      <c r="G445" s="20" t="str">
        <f>HYPERLINK("https://semena-nn.ru/catalog/30/999000009532","Фото")</f>
        <v>Фото</v>
      </c>
      <c r="H445" s="18">
        <v>75.599999999999994</v>
      </c>
      <c r="I445" s="27"/>
      <c r="J445" s="13">
        <f>H445*I445</f>
        <v>0</v>
      </c>
    </row>
    <row r="446" spans="1:10" ht="12" customHeight="1">
      <c r="A446" s="13" t="s">
        <v>3149</v>
      </c>
      <c r="B446" s="13" t="s">
        <v>3150</v>
      </c>
      <c r="C446" s="13" t="s">
        <v>696</v>
      </c>
      <c r="D446" s="13" t="s">
        <v>697</v>
      </c>
      <c r="E446" s="13" t="s">
        <v>3064</v>
      </c>
      <c r="F446" s="13" t="s">
        <v>3151</v>
      </c>
      <c r="G446" s="20" t="str">
        <f>HYPERLINK("http://semena-nn.ru/catalog/38/1314281","Фото")</f>
        <v>Фото</v>
      </c>
      <c r="H446" s="18">
        <v>15.2</v>
      </c>
      <c r="I446" s="27"/>
      <c r="J446" s="13">
        <f>H446*I446</f>
        <v>0</v>
      </c>
    </row>
    <row r="447" spans="1:10" ht="12" customHeight="1">
      <c r="A447" s="13" t="s">
        <v>993</v>
      </c>
      <c r="B447" s="13" t="s">
        <v>994</v>
      </c>
      <c r="C447" s="13" t="s">
        <v>696</v>
      </c>
      <c r="D447" s="13" t="s">
        <v>697</v>
      </c>
      <c r="E447" s="13" t="s">
        <v>93</v>
      </c>
      <c r="F447" s="13" t="s">
        <v>995</v>
      </c>
      <c r="G447" s="20" t="str">
        <f>HYPERLINK("http://semena-nn.ru/catalog/38/1311216","Фото")</f>
        <v>Фото</v>
      </c>
      <c r="H447" s="18">
        <v>22.4</v>
      </c>
      <c r="I447" s="27"/>
      <c r="J447" s="13">
        <f>H447*I447</f>
        <v>0</v>
      </c>
    </row>
    <row r="448" spans="1:10" ht="12" customHeight="1">
      <c r="A448" s="13" t="s">
        <v>3626</v>
      </c>
      <c r="B448" s="13" t="s">
        <v>3627</v>
      </c>
      <c r="C448" s="13" t="s">
        <v>696</v>
      </c>
      <c r="D448" s="13" t="s">
        <v>3475</v>
      </c>
      <c r="E448" s="13" t="s">
        <v>93</v>
      </c>
      <c r="F448" s="13" t="s">
        <v>3628</v>
      </c>
      <c r="G448" s="20" t="str">
        <f>HYPERLINK("http://semena-nn.ru/catalog/38/1115440","Фото")</f>
        <v>Фото</v>
      </c>
      <c r="H448" s="18">
        <v>18.7</v>
      </c>
      <c r="I448" s="27"/>
      <c r="J448" s="13">
        <f>H448*I448</f>
        <v>0</v>
      </c>
    </row>
    <row r="449" spans="1:10" ht="12" customHeight="1">
      <c r="A449" s="13" t="s">
        <v>996</v>
      </c>
      <c r="B449" s="13" t="s">
        <v>997</v>
      </c>
      <c r="C449" s="13" t="s">
        <v>406</v>
      </c>
      <c r="D449" s="13" t="s">
        <v>697</v>
      </c>
      <c r="E449" s="13" t="s">
        <v>93</v>
      </c>
      <c r="F449" s="13" t="s">
        <v>998</v>
      </c>
      <c r="G449" s="20" t="str">
        <f>HYPERLINK("https://semena-nn.ru/catalog/38/106421","Фото")</f>
        <v>Фото</v>
      </c>
      <c r="H449" s="18">
        <v>22.4</v>
      </c>
      <c r="I449" s="27"/>
      <c r="J449" s="13">
        <f>H449*I449</f>
        <v>0</v>
      </c>
    </row>
    <row r="450" spans="1:10" ht="12" customHeight="1">
      <c r="A450" s="13" t="s">
        <v>7829</v>
      </c>
      <c r="B450" s="13" t="s">
        <v>7830</v>
      </c>
      <c r="C450" s="13" t="s">
        <v>696</v>
      </c>
      <c r="D450" s="13" t="s">
        <v>7728</v>
      </c>
      <c r="E450" s="13" t="s">
        <v>93</v>
      </c>
      <c r="F450" s="13" t="s">
        <v>7831</v>
      </c>
      <c r="G450" s="20" t="str">
        <f>HYPERLINK("https://semena-nn.ru/catalog/38/1116205","Фото")</f>
        <v>Фото</v>
      </c>
      <c r="H450" s="18">
        <v>22.6</v>
      </c>
      <c r="I450" s="27"/>
      <c r="J450" s="13">
        <f>H450*I450</f>
        <v>0</v>
      </c>
    </row>
    <row r="451" spans="1:10" ht="12" customHeight="1">
      <c r="A451" s="13" t="s">
        <v>5213</v>
      </c>
      <c r="B451" s="13" t="s">
        <v>5214</v>
      </c>
      <c r="C451" s="13" t="s">
        <v>624</v>
      </c>
      <c r="D451" s="13" t="s">
        <v>5136</v>
      </c>
      <c r="E451" s="13" t="s">
        <v>93</v>
      </c>
      <c r="F451" s="13" t="s">
        <v>5215</v>
      </c>
      <c r="G451" s="20" t="str">
        <f>HYPERLINK("https://semena-nn.ru/catalog/57/888000001638","Фото")</f>
        <v>Фото</v>
      </c>
      <c r="H451" s="18">
        <v>67.5</v>
      </c>
      <c r="I451" s="27"/>
      <c r="J451" s="13">
        <f>H451*I451</f>
        <v>0</v>
      </c>
    </row>
    <row r="452" spans="1:10" ht="12" customHeight="1">
      <c r="A452" s="13" t="s">
        <v>7832</v>
      </c>
      <c r="B452" s="13" t="s">
        <v>7833</v>
      </c>
      <c r="C452" s="13" t="s">
        <v>208</v>
      </c>
      <c r="D452" s="13" t="s">
        <v>7728</v>
      </c>
      <c r="E452" s="13" t="s">
        <v>93</v>
      </c>
      <c r="F452" s="13" t="s">
        <v>7834</v>
      </c>
      <c r="G452" s="20" t="str">
        <f>HYPERLINK("http://semena-nn.ru/catalog/53/101151","Фото")</f>
        <v>Фото</v>
      </c>
      <c r="H452" s="18">
        <v>66.5</v>
      </c>
      <c r="I452" s="27"/>
      <c r="J452" s="13">
        <f>H452*I452</f>
        <v>0</v>
      </c>
    </row>
    <row r="453" spans="1:10" ht="12" customHeight="1">
      <c r="A453" s="13" t="s">
        <v>999</v>
      </c>
      <c r="B453" s="13" t="s">
        <v>1000</v>
      </c>
      <c r="C453" s="13" t="s">
        <v>696</v>
      </c>
      <c r="D453" s="13" t="s">
        <v>697</v>
      </c>
      <c r="E453" s="13" t="s">
        <v>93</v>
      </c>
      <c r="F453" s="13" t="s">
        <v>1001</v>
      </c>
      <c r="G453" s="20" t="str">
        <f>HYPERLINK("https://semena-nn.ru/catalog/38/999000012829","Фото")</f>
        <v>Фото</v>
      </c>
      <c r="H453" s="18">
        <v>24.4</v>
      </c>
      <c r="I453" s="27"/>
      <c r="J453" s="13">
        <f>H453*I453</f>
        <v>0</v>
      </c>
    </row>
    <row r="454" spans="1:10" ht="12" customHeight="1">
      <c r="A454" s="13" t="s">
        <v>1002</v>
      </c>
      <c r="B454" s="13" t="s">
        <v>1003</v>
      </c>
      <c r="C454" s="13" t="s">
        <v>696</v>
      </c>
      <c r="D454" s="13" t="s">
        <v>697</v>
      </c>
      <c r="E454" s="13" t="s">
        <v>93</v>
      </c>
      <c r="F454" s="13" t="s">
        <v>1004</v>
      </c>
      <c r="G454" s="20" t="str">
        <f>HYPERLINK("https://semena-nn.ru/catalog/38/888000000860","Фото")</f>
        <v>Фото</v>
      </c>
      <c r="H454" s="18">
        <v>31.6</v>
      </c>
      <c r="I454" s="27"/>
      <c r="J454" s="13">
        <f>H454*I454</f>
        <v>0</v>
      </c>
    </row>
    <row r="455" spans="1:10" ht="12" customHeight="1">
      <c r="A455" s="13" t="s">
        <v>1005</v>
      </c>
      <c r="B455" s="13" t="s">
        <v>1006</v>
      </c>
      <c r="C455" s="13" t="s">
        <v>406</v>
      </c>
      <c r="D455" s="13" t="s">
        <v>697</v>
      </c>
      <c r="E455" s="13" t="s">
        <v>93</v>
      </c>
      <c r="F455" s="13" t="s">
        <v>1007</v>
      </c>
      <c r="G455" s="20" t="str">
        <f>HYPERLINK("https://semena-nn.ru/catalog/38/1282859","Фото")</f>
        <v>Фото</v>
      </c>
      <c r="H455" s="18">
        <v>24.4</v>
      </c>
      <c r="I455" s="27"/>
      <c r="J455" s="13">
        <f>H455*I455</f>
        <v>0</v>
      </c>
    </row>
    <row r="456" spans="1:10" ht="12" customHeight="1">
      <c r="A456" s="13" t="s">
        <v>3629</v>
      </c>
      <c r="B456" s="13" t="s">
        <v>3630</v>
      </c>
      <c r="C456" s="13" t="s">
        <v>406</v>
      </c>
      <c r="D456" s="13" t="s">
        <v>3475</v>
      </c>
      <c r="E456" s="13" t="s">
        <v>93</v>
      </c>
      <c r="F456" s="13" t="s">
        <v>3631</v>
      </c>
      <c r="G456" s="20" t="str">
        <f>HYPERLINK("https://semena-nn.ru/catalog/38/1114290","Фото")</f>
        <v>Фото</v>
      </c>
      <c r="H456" s="18">
        <v>18.7</v>
      </c>
      <c r="I456" s="27"/>
      <c r="J456" s="13">
        <f>H456*I456</f>
        <v>0</v>
      </c>
    </row>
    <row r="457" spans="1:10" ht="12" customHeight="1">
      <c r="A457" s="13" t="s">
        <v>3632</v>
      </c>
      <c r="B457" s="13" t="s">
        <v>3633</v>
      </c>
      <c r="C457" s="13" t="s">
        <v>406</v>
      </c>
      <c r="D457" s="13" t="s">
        <v>3475</v>
      </c>
      <c r="E457" s="13" t="s">
        <v>93</v>
      </c>
      <c r="F457" s="13" t="s">
        <v>3634</v>
      </c>
      <c r="G457" s="20" t="str">
        <f>HYPERLINK("https://semena-nn.ru/catalog/38/98021","Фото")</f>
        <v>Фото</v>
      </c>
      <c r="H457" s="18">
        <v>18.7</v>
      </c>
      <c r="I457" s="27"/>
      <c r="J457" s="13">
        <f>H457*I457</f>
        <v>0</v>
      </c>
    </row>
    <row r="458" spans="1:10" ht="12" customHeight="1">
      <c r="A458" s="13" t="s">
        <v>7835</v>
      </c>
      <c r="B458" s="13" t="s">
        <v>7836</v>
      </c>
      <c r="C458" s="13" t="s">
        <v>274</v>
      </c>
      <c r="D458" s="13" t="s">
        <v>7728</v>
      </c>
      <c r="E458" s="13" t="s">
        <v>93</v>
      </c>
      <c r="F458" s="13" t="s">
        <v>7837</v>
      </c>
      <c r="G458" s="20" t="str">
        <f>HYPERLINK("https://semena-nn.ru/catalog/31/1314090","Фото")</f>
        <v>Фото</v>
      </c>
      <c r="H458" s="19">
        <v>23.05</v>
      </c>
      <c r="I458" s="27"/>
      <c r="J458" s="13">
        <f>H458*I458</f>
        <v>0</v>
      </c>
    </row>
    <row r="459" spans="1:10" ht="12" customHeight="1">
      <c r="A459" s="13" t="s">
        <v>2737</v>
      </c>
      <c r="B459" s="13" t="s">
        <v>2738</v>
      </c>
      <c r="C459" s="13" t="s">
        <v>274</v>
      </c>
      <c r="D459" s="13" t="s">
        <v>697</v>
      </c>
      <c r="E459" s="13" t="s">
        <v>2636</v>
      </c>
      <c r="F459" s="13" t="s">
        <v>2739</v>
      </c>
      <c r="G459" s="20" t="str">
        <f>HYPERLINK("http://semena-nn.ru/catalog/31/80627","Фото")</f>
        <v>Фото</v>
      </c>
      <c r="H459" s="15">
        <v>7</v>
      </c>
      <c r="I459" s="27"/>
      <c r="J459" s="13">
        <f>H459*I459</f>
        <v>0</v>
      </c>
    </row>
    <row r="460" spans="1:10" ht="12" customHeight="1">
      <c r="A460" s="13" t="s">
        <v>3635</v>
      </c>
      <c r="B460" s="13" t="s">
        <v>3636</v>
      </c>
      <c r="C460" s="13" t="s">
        <v>274</v>
      </c>
      <c r="D460" s="13" t="s">
        <v>3475</v>
      </c>
      <c r="E460" s="13" t="s">
        <v>93</v>
      </c>
      <c r="F460" s="13" t="s">
        <v>3637</v>
      </c>
      <c r="G460" s="20" t="str">
        <f>HYPERLINK("https://semena-nn.ru/catalog/31/999000002075","Фото")</f>
        <v>Фото</v>
      </c>
      <c r="H460" s="19">
        <v>31.95</v>
      </c>
      <c r="I460" s="27"/>
      <c r="J460" s="13">
        <f>H460*I460</f>
        <v>0</v>
      </c>
    </row>
    <row r="461" spans="1:10" ht="12" customHeight="1">
      <c r="A461" s="13" t="s">
        <v>3638</v>
      </c>
      <c r="B461" s="13" t="s">
        <v>3639</v>
      </c>
      <c r="C461" s="13" t="s">
        <v>274</v>
      </c>
      <c r="D461" s="13" t="s">
        <v>3475</v>
      </c>
      <c r="E461" s="13" t="s">
        <v>93</v>
      </c>
      <c r="F461" s="17" t="s">
        <v>3640</v>
      </c>
      <c r="G461" s="20" t="str">
        <f>HYPERLINK("https://semena-nn.ru/catalog/31/999000012699","Фото")</f>
        <v>Фото</v>
      </c>
      <c r="H461" s="19">
        <v>23.15</v>
      </c>
      <c r="I461" s="27"/>
      <c r="J461" s="13">
        <f>H461*I461</f>
        <v>0</v>
      </c>
    </row>
    <row r="462" spans="1:10" ht="12" customHeight="1">
      <c r="A462" s="13" t="s">
        <v>1008</v>
      </c>
      <c r="B462" s="13" t="s">
        <v>1009</v>
      </c>
      <c r="C462" s="13" t="s">
        <v>274</v>
      </c>
      <c r="D462" s="13" t="s">
        <v>697</v>
      </c>
      <c r="E462" s="13" t="s">
        <v>93</v>
      </c>
      <c r="F462" s="13" t="s">
        <v>1010</v>
      </c>
      <c r="G462" s="20" t="str">
        <f>HYPERLINK("http://semena-nn.ru/catalog/31/1307749","Фото")</f>
        <v>Фото</v>
      </c>
      <c r="H462" s="19">
        <v>21.11</v>
      </c>
      <c r="I462" s="27"/>
      <c r="J462" s="13">
        <f>H462*I462</f>
        <v>0</v>
      </c>
    </row>
    <row r="463" spans="1:10" ht="12" customHeight="1">
      <c r="A463" s="13" t="s">
        <v>3152</v>
      </c>
      <c r="B463" s="13" t="s">
        <v>3153</v>
      </c>
      <c r="C463" s="13" t="s">
        <v>274</v>
      </c>
      <c r="D463" s="13" t="s">
        <v>697</v>
      </c>
      <c r="E463" s="13" t="s">
        <v>3064</v>
      </c>
      <c r="F463" s="13" t="s">
        <v>3154</v>
      </c>
      <c r="G463" s="20" t="str">
        <f>HYPERLINK("http://semena-nn.ru/catalog/31/1314289","Фото")</f>
        <v>Фото</v>
      </c>
      <c r="H463" s="18">
        <v>15.3</v>
      </c>
      <c r="I463" s="27"/>
      <c r="J463" s="13">
        <f>H463*I463</f>
        <v>0</v>
      </c>
    </row>
    <row r="464" spans="1:10" ht="12" customHeight="1">
      <c r="A464" s="13" t="s">
        <v>7838</v>
      </c>
      <c r="B464" s="13" t="s">
        <v>7839</v>
      </c>
      <c r="C464" s="13" t="s">
        <v>274</v>
      </c>
      <c r="D464" s="13" t="s">
        <v>7728</v>
      </c>
      <c r="E464" s="13" t="s">
        <v>93</v>
      </c>
      <c r="F464" s="13" t="s">
        <v>7840</v>
      </c>
      <c r="G464" s="20" t="str">
        <f>HYPERLINK("http://semena-nn.ru/catalog/31/1125491","Фото")</f>
        <v>Фото</v>
      </c>
      <c r="H464" s="19">
        <v>32.15</v>
      </c>
      <c r="I464" s="27"/>
      <c r="J464" s="13">
        <f>H464*I464</f>
        <v>0</v>
      </c>
    </row>
    <row r="465" spans="1:10" ht="12" customHeight="1">
      <c r="A465" s="13" t="s">
        <v>3155</v>
      </c>
      <c r="B465" s="13" t="s">
        <v>3156</v>
      </c>
      <c r="C465" s="13" t="s">
        <v>274</v>
      </c>
      <c r="D465" s="13" t="s">
        <v>697</v>
      </c>
      <c r="E465" s="13" t="s">
        <v>3064</v>
      </c>
      <c r="F465" s="13" t="s">
        <v>3157</v>
      </c>
      <c r="G465" s="20" t="str">
        <f>HYPERLINK("https://semena-nn.ru/catalog/31/1287464","Фото")</f>
        <v>Фото</v>
      </c>
      <c r="H465" s="18">
        <v>15.4</v>
      </c>
      <c r="I465" s="27"/>
      <c r="J465" s="13">
        <f>H465*I465</f>
        <v>0</v>
      </c>
    </row>
    <row r="466" spans="1:10" ht="12" customHeight="1">
      <c r="A466" s="13" t="s">
        <v>2740</v>
      </c>
      <c r="B466" s="13" t="s">
        <v>2741</v>
      </c>
      <c r="C466" s="13" t="s">
        <v>274</v>
      </c>
      <c r="D466" s="13" t="s">
        <v>697</v>
      </c>
      <c r="E466" s="13" t="s">
        <v>2636</v>
      </c>
      <c r="F466" s="13" t="s">
        <v>2742</v>
      </c>
      <c r="G466" s="20" t="str">
        <f>HYPERLINK("http://semena-nn.ru/admin/catalog/80625","Фото")</f>
        <v>Фото</v>
      </c>
      <c r="H466" s="18">
        <v>14.2</v>
      </c>
      <c r="I466" s="27"/>
      <c r="J466" s="13">
        <f>H466*I466</f>
        <v>0</v>
      </c>
    </row>
    <row r="467" spans="1:10" ht="12" customHeight="1">
      <c r="A467" s="13" t="s">
        <v>3641</v>
      </c>
      <c r="B467" s="13" t="s">
        <v>3642</v>
      </c>
      <c r="C467" s="13" t="s">
        <v>274</v>
      </c>
      <c r="D467" s="13" t="s">
        <v>3475</v>
      </c>
      <c r="E467" s="13" t="s">
        <v>93</v>
      </c>
      <c r="F467" s="13" t="s">
        <v>3643</v>
      </c>
      <c r="G467" s="20" t="str">
        <f>HYPERLINK("https://semena-nn.ru/catalog/31/999000012781","Фото")</f>
        <v>Фото</v>
      </c>
      <c r="H467" s="19">
        <v>23.15</v>
      </c>
      <c r="I467" s="27"/>
      <c r="J467" s="13">
        <f>H467*I467</f>
        <v>0</v>
      </c>
    </row>
    <row r="468" spans="1:10" ht="12" customHeight="1">
      <c r="A468" s="13" t="s">
        <v>1011</v>
      </c>
      <c r="B468" s="13" t="s">
        <v>1012</v>
      </c>
      <c r="C468" s="13" t="s">
        <v>274</v>
      </c>
      <c r="D468" s="13" t="s">
        <v>697</v>
      </c>
      <c r="E468" s="13" t="s">
        <v>93</v>
      </c>
      <c r="F468" s="13" t="s">
        <v>1013</v>
      </c>
      <c r="G468" s="20" t="str">
        <f>HYPERLINK("https://semena-nn.ru/catalog/31/1311045","Фото")</f>
        <v>Фото</v>
      </c>
      <c r="H468" s="19">
        <v>21.25</v>
      </c>
      <c r="I468" s="27"/>
      <c r="J468" s="13">
        <f>H468*I468</f>
        <v>0</v>
      </c>
    </row>
    <row r="469" spans="1:10" ht="12" customHeight="1">
      <c r="A469" s="13" t="s">
        <v>1014</v>
      </c>
      <c r="B469" s="13" t="s">
        <v>1015</v>
      </c>
      <c r="C469" s="13" t="s">
        <v>274</v>
      </c>
      <c r="D469" s="13" t="s">
        <v>697</v>
      </c>
      <c r="E469" s="13" t="s">
        <v>93</v>
      </c>
      <c r="F469" s="13" t="s">
        <v>1016</v>
      </c>
      <c r="G469" s="20" t="str">
        <f>HYPERLINK("http://semena-nn.ru/catalog/31/1124483","Фото")</f>
        <v>Фото</v>
      </c>
      <c r="H469" s="18">
        <v>18.7</v>
      </c>
      <c r="I469" s="27"/>
      <c r="J469" s="13">
        <f>H469*I469</f>
        <v>0</v>
      </c>
    </row>
    <row r="470" spans="1:10" ht="12" customHeight="1">
      <c r="A470" s="13" t="s">
        <v>272</v>
      </c>
      <c r="B470" s="13" t="s">
        <v>273</v>
      </c>
      <c r="C470" s="13" t="s">
        <v>274</v>
      </c>
      <c r="D470" s="13" t="s">
        <v>28</v>
      </c>
      <c r="E470" s="13" t="s">
        <v>93</v>
      </c>
      <c r="F470" s="13" t="s">
        <v>275</v>
      </c>
      <c r="G470" s="20" t="str">
        <f>HYPERLINK("https://semena-nn.ru/catalog/31/999000009676","Фото")</f>
        <v>Фото</v>
      </c>
      <c r="H470" s="19">
        <v>51.77</v>
      </c>
      <c r="I470" s="27"/>
      <c r="J470" s="13">
        <f>H470*I470</f>
        <v>0</v>
      </c>
    </row>
    <row r="471" spans="1:10" ht="12" customHeight="1">
      <c r="A471" s="13" t="s">
        <v>6454</v>
      </c>
      <c r="B471" s="13" t="s">
        <v>6455</v>
      </c>
      <c r="C471" s="13" t="s">
        <v>274</v>
      </c>
      <c r="D471" s="13" t="s">
        <v>87</v>
      </c>
      <c r="E471" s="13" t="s">
        <v>93</v>
      </c>
      <c r="F471" s="13" t="s">
        <v>6456</v>
      </c>
      <c r="G471" s="20" t="str">
        <f>HYPERLINK("https://semena-nn.ru/catalog/31/96767","Фото")</f>
        <v>Фото</v>
      </c>
      <c r="H471" s="18">
        <v>24.7</v>
      </c>
      <c r="I471" s="27"/>
      <c r="J471" s="13">
        <f>H471*I471</f>
        <v>0</v>
      </c>
    </row>
    <row r="472" spans="1:10" ht="12" customHeight="1">
      <c r="A472" s="13" t="s">
        <v>1017</v>
      </c>
      <c r="B472" s="13" t="s">
        <v>1018</v>
      </c>
      <c r="C472" s="13" t="s">
        <v>274</v>
      </c>
      <c r="D472" s="13" t="s">
        <v>697</v>
      </c>
      <c r="E472" s="13" t="s">
        <v>93</v>
      </c>
      <c r="F472" s="13" t="s">
        <v>1019</v>
      </c>
      <c r="G472" s="20" t="str">
        <f>HYPERLINK("https://semena-nn.ru/catalog/31/999000019963","Фото")</f>
        <v>Фото</v>
      </c>
      <c r="H472" s="19">
        <v>20.95</v>
      </c>
      <c r="I472" s="27"/>
      <c r="J472" s="13">
        <f>H472*I472</f>
        <v>0</v>
      </c>
    </row>
    <row r="473" spans="1:10" ht="12" customHeight="1">
      <c r="A473" s="13" t="s">
        <v>5013</v>
      </c>
      <c r="B473" s="13" t="s">
        <v>5014</v>
      </c>
      <c r="C473" s="13" t="s">
        <v>274</v>
      </c>
      <c r="D473" s="13" t="s">
        <v>3475</v>
      </c>
      <c r="E473" s="13" t="s">
        <v>5009</v>
      </c>
      <c r="F473" s="13" t="s">
        <v>5015</v>
      </c>
      <c r="G473" s="20" t="str">
        <f>HYPERLINK("https://semena-nn.ru/catalog/31/888000000800","Фото")</f>
        <v>Фото</v>
      </c>
      <c r="H473" s="19">
        <v>12.61</v>
      </c>
      <c r="I473" s="27"/>
      <c r="J473" s="13">
        <f>H473*I473</f>
        <v>0</v>
      </c>
    </row>
    <row r="474" spans="1:10" ht="12" customHeight="1">
      <c r="A474" s="13" t="s">
        <v>1020</v>
      </c>
      <c r="B474" s="13" t="s">
        <v>1021</v>
      </c>
      <c r="C474" s="13" t="s">
        <v>274</v>
      </c>
      <c r="D474" s="13" t="s">
        <v>697</v>
      </c>
      <c r="E474" s="13" t="s">
        <v>93</v>
      </c>
      <c r="F474" s="13" t="s">
        <v>1022</v>
      </c>
      <c r="G474" s="20" t="str">
        <f>HYPERLINK("https://semena-nn.ru/catalog/31/999000012060","Фото")</f>
        <v>Фото</v>
      </c>
      <c r="H474" s="15">
        <v>22</v>
      </c>
      <c r="I474" s="27"/>
      <c r="J474" s="13">
        <f>H474*I474</f>
        <v>0</v>
      </c>
    </row>
    <row r="475" spans="1:10" ht="12" customHeight="1">
      <c r="A475" s="13" t="s">
        <v>6965</v>
      </c>
      <c r="B475" s="13" t="s">
        <v>6966</v>
      </c>
      <c r="C475" s="13" t="s">
        <v>274</v>
      </c>
      <c r="D475" s="13" t="s">
        <v>6927</v>
      </c>
      <c r="E475" s="13" t="s">
        <v>93</v>
      </c>
      <c r="F475" s="13" t="s">
        <v>6967</v>
      </c>
      <c r="G475" s="20" t="str">
        <f>HYPERLINK("https://semena-nn.ru/catalog/31/1313626","Фото")</f>
        <v>Фото</v>
      </c>
      <c r="H475" s="19">
        <v>25.05</v>
      </c>
      <c r="I475" s="27"/>
      <c r="J475" s="13">
        <f>H475*I475</f>
        <v>0</v>
      </c>
    </row>
    <row r="476" spans="1:10" ht="12" customHeight="1">
      <c r="A476" s="13" t="s">
        <v>6968</v>
      </c>
      <c r="B476" s="13" t="s">
        <v>6969</v>
      </c>
      <c r="C476" s="13" t="s">
        <v>274</v>
      </c>
      <c r="D476" s="13" t="s">
        <v>6927</v>
      </c>
      <c r="E476" s="13" t="s">
        <v>93</v>
      </c>
      <c r="F476" s="13" t="s">
        <v>6970</v>
      </c>
      <c r="G476" s="20" t="str">
        <f>HYPERLINK("https://semena-nn.ru/catalog/31/999000010160","Фото")</f>
        <v>Фото</v>
      </c>
      <c r="H476" s="15">
        <v>22</v>
      </c>
      <c r="I476" s="27"/>
      <c r="J476" s="13">
        <f>H476*I476</f>
        <v>0</v>
      </c>
    </row>
    <row r="477" spans="1:10" ht="12" customHeight="1">
      <c r="A477" s="13" t="s">
        <v>7841</v>
      </c>
      <c r="B477" s="13" t="s">
        <v>7842</v>
      </c>
      <c r="C477" s="13" t="s">
        <v>274</v>
      </c>
      <c r="D477" s="13" t="s">
        <v>7728</v>
      </c>
      <c r="E477" s="13" t="s">
        <v>93</v>
      </c>
      <c r="F477" s="13" t="s">
        <v>7843</v>
      </c>
      <c r="G477" s="20" t="str">
        <f>HYPERLINK("http://www.semena-nn.ru/catalog/31/1307927","Фото")</f>
        <v>Фото</v>
      </c>
      <c r="H477" s="18">
        <v>36.5</v>
      </c>
      <c r="I477" s="27"/>
      <c r="J477" s="13">
        <f>H477*I477</f>
        <v>0</v>
      </c>
    </row>
    <row r="478" spans="1:10" ht="12" customHeight="1">
      <c r="A478" s="13" t="s">
        <v>1023</v>
      </c>
      <c r="B478" s="13" t="s">
        <v>1024</v>
      </c>
      <c r="C478" s="13" t="s">
        <v>274</v>
      </c>
      <c r="D478" s="13" t="s">
        <v>697</v>
      </c>
      <c r="E478" s="13" t="s">
        <v>93</v>
      </c>
      <c r="F478" s="13" t="s">
        <v>1025</v>
      </c>
      <c r="G478" s="20" t="str">
        <f>HYPERLINK("http://semena-nn.ru/catalog/31/1120504","Фото")</f>
        <v>Фото</v>
      </c>
      <c r="H478" s="18">
        <v>22.8</v>
      </c>
      <c r="I478" s="27"/>
      <c r="J478" s="13">
        <f>H478*I478</f>
        <v>0</v>
      </c>
    </row>
    <row r="479" spans="1:10" ht="12" customHeight="1">
      <c r="A479" s="13" t="s">
        <v>3158</v>
      </c>
      <c r="B479" s="13" t="s">
        <v>3159</v>
      </c>
      <c r="C479" s="13" t="s">
        <v>274</v>
      </c>
      <c r="D479" s="13" t="s">
        <v>697</v>
      </c>
      <c r="E479" s="13" t="s">
        <v>3064</v>
      </c>
      <c r="F479" s="13" t="s">
        <v>3160</v>
      </c>
      <c r="G479" s="20" t="str">
        <f>HYPERLINK("https://semena-nn.ru/catalog/31/1288107","Фото")</f>
        <v>Фото</v>
      </c>
      <c r="H479" s="19">
        <v>14.88</v>
      </c>
      <c r="I479" s="27"/>
      <c r="J479" s="13">
        <f>H479*I479</f>
        <v>0</v>
      </c>
    </row>
    <row r="480" spans="1:10" ht="12" customHeight="1">
      <c r="A480" s="13" t="s">
        <v>3644</v>
      </c>
      <c r="B480" s="13" t="s">
        <v>3645</v>
      </c>
      <c r="C480" s="13" t="s">
        <v>274</v>
      </c>
      <c r="D480" s="13" t="s">
        <v>3475</v>
      </c>
      <c r="E480" s="13" t="s">
        <v>93</v>
      </c>
      <c r="F480" s="13" t="s">
        <v>3646</v>
      </c>
      <c r="G480" s="20" t="str">
        <f>HYPERLINK("http://semena-nn.ru/catalog/31/1116852","Фото")</f>
        <v>Фото</v>
      </c>
      <c r="H480" s="18">
        <v>18.7</v>
      </c>
      <c r="I480" s="27"/>
      <c r="J480" s="13">
        <f>H480*I480</f>
        <v>0</v>
      </c>
    </row>
    <row r="481" spans="1:10" ht="12" customHeight="1">
      <c r="A481" s="13" t="s">
        <v>1026</v>
      </c>
      <c r="B481" s="13" t="s">
        <v>1027</v>
      </c>
      <c r="C481" s="13" t="s">
        <v>274</v>
      </c>
      <c r="D481" s="13" t="s">
        <v>697</v>
      </c>
      <c r="E481" s="13" t="s">
        <v>93</v>
      </c>
      <c r="F481" s="13" t="s">
        <v>1028</v>
      </c>
      <c r="G481" s="20" t="str">
        <f>HYPERLINK("http://semena-nn.ru/catalog/31/98142","Фото")</f>
        <v>Фото</v>
      </c>
      <c r="H481" s="19">
        <v>22.95</v>
      </c>
      <c r="I481" s="27"/>
      <c r="J481" s="13">
        <f>H481*I481</f>
        <v>0</v>
      </c>
    </row>
    <row r="482" spans="1:10" ht="12" customHeight="1">
      <c r="A482" s="13" t="s">
        <v>7844</v>
      </c>
      <c r="B482" s="13" t="s">
        <v>7845</v>
      </c>
      <c r="C482" s="13" t="s">
        <v>274</v>
      </c>
      <c r="D482" s="13" t="s">
        <v>7728</v>
      </c>
      <c r="E482" s="13" t="s">
        <v>93</v>
      </c>
      <c r="F482" s="13" t="s">
        <v>7846</v>
      </c>
      <c r="G482" s="20" t="str">
        <f>HYPERLINK("http://semena-nn.ru/catalog/31/1307929","Фото")</f>
        <v>Фото</v>
      </c>
      <c r="H482" s="18">
        <v>35.799999999999997</v>
      </c>
      <c r="I482" s="27"/>
      <c r="J482" s="13">
        <f>H482*I482</f>
        <v>0</v>
      </c>
    </row>
    <row r="483" spans="1:10" ht="12" customHeight="1">
      <c r="A483" s="13" t="s">
        <v>6971</v>
      </c>
      <c r="B483" s="13" t="s">
        <v>6972</v>
      </c>
      <c r="C483" s="13" t="s">
        <v>274</v>
      </c>
      <c r="D483" s="13" t="s">
        <v>6927</v>
      </c>
      <c r="E483" s="13" t="s">
        <v>93</v>
      </c>
      <c r="F483" s="13" t="s">
        <v>6973</v>
      </c>
      <c r="G483" s="20" t="str">
        <f>HYPERLINK("https://semena-nn.ru/catalog/31/999000008191","Фото")</f>
        <v>Фото</v>
      </c>
      <c r="H483" s="18">
        <v>28.6</v>
      </c>
      <c r="I483" s="27"/>
      <c r="J483" s="13">
        <f>H483*I483</f>
        <v>0</v>
      </c>
    </row>
    <row r="484" spans="1:10" ht="12" customHeight="1">
      <c r="A484" s="13" t="s">
        <v>276</v>
      </c>
      <c r="B484" s="13" t="s">
        <v>277</v>
      </c>
      <c r="C484" s="13" t="s">
        <v>274</v>
      </c>
      <c r="D484" s="13" t="s">
        <v>28</v>
      </c>
      <c r="E484" s="13" t="s">
        <v>93</v>
      </c>
      <c r="F484" s="13" t="s">
        <v>278</v>
      </c>
      <c r="G484" s="20" t="str">
        <f>HYPERLINK("https://semena-nn.ru/catalog/31/999000010606","Фото")</f>
        <v>Фото</v>
      </c>
      <c r="H484" s="19">
        <v>31.29</v>
      </c>
      <c r="I484" s="27"/>
      <c r="J484" s="13">
        <f>H484*I484</f>
        <v>0</v>
      </c>
    </row>
    <row r="485" spans="1:10" ht="12" customHeight="1">
      <c r="A485" s="13" t="s">
        <v>8506</v>
      </c>
      <c r="B485" s="13" t="s">
        <v>8507</v>
      </c>
      <c r="C485" s="13" t="s">
        <v>274</v>
      </c>
      <c r="D485" s="13" t="s">
        <v>8498</v>
      </c>
      <c r="E485" s="13" t="s">
        <v>93</v>
      </c>
      <c r="F485" s="13" t="s">
        <v>8508</v>
      </c>
      <c r="G485" s="20" t="str">
        <f>HYPERLINK("http://semena-nn.ru/catalog/31/108795","Фото")</f>
        <v>Фото</v>
      </c>
      <c r="H485" s="19">
        <v>17.05</v>
      </c>
      <c r="I485" s="27"/>
      <c r="J485" s="13">
        <f>H485*I485</f>
        <v>0</v>
      </c>
    </row>
    <row r="486" spans="1:10" ht="12" customHeight="1">
      <c r="A486" s="13" t="s">
        <v>8509</v>
      </c>
      <c r="B486" s="13" t="s">
        <v>8510</v>
      </c>
      <c r="C486" s="13" t="s">
        <v>274</v>
      </c>
      <c r="D486" s="13" t="s">
        <v>8498</v>
      </c>
      <c r="E486" s="13" t="s">
        <v>93</v>
      </c>
      <c r="F486" s="13" t="s">
        <v>8511</v>
      </c>
      <c r="G486" s="20" t="str">
        <f>HYPERLINK("http://semena-nn.ru/catalog/31/999000006431","Фото")</f>
        <v>Фото</v>
      </c>
      <c r="H486" s="19">
        <v>17.05</v>
      </c>
      <c r="I486" s="27"/>
      <c r="J486" s="13">
        <f>H486*I486</f>
        <v>0</v>
      </c>
    </row>
    <row r="487" spans="1:10" ht="12" customHeight="1">
      <c r="A487" s="13" t="s">
        <v>1029</v>
      </c>
      <c r="B487" s="13" t="s">
        <v>1030</v>
      </c>
      <c r="C487" s="13" t="s">
        <v>274</v>
      </c>
      <c r="D487" s="13" t="s">
        <v>697</v>
      </c>
      <c r="E487" s="13" t="s">
        <v>93</v>
      </c>
      <c r="F487" s="13" t="s">
        <v>1031</v>
      </c>
      <c r="G487" s="20" t="str">
        <f>HYPERLINK("https://semena-nn.ru/catalog/31/1120942","Фото")</f>
        <v>Фото</v>
      </c>
      <c r="H487" s="18">
        <v>18.7</v>
      </c>
      <c r="I487" s="27"/>
      <c r="J487" s="13">
        <f>H487*I487</f>
        <v>0</v>
      </c>
    </row>
    <row r="488" spans="1:10" ht="12" customHeight="1">
      <c r="A488" s="13" t="s">
        <v>2743</v>
      </c>
      <c r="B488" s="13" t="s">
        <v>2744</v>
      </c>
      <c r="C488" s="13" t="s">
        <v>274</v>
      </c>
      <c r="D488" s="13" t="s">
        <v>697</v>
      </c>
      <c r="E488" s="13" t="s">
        <v>2636</v>
      </c>
      <c r="F488" s="13" t="s">
        <v>2745</v>
      </c>
      <c r="G488" s="20" t="str">
        <f>HYPERLINK("http://www.semena-nn.ru/catalog/31/3089","Фото")</f>
        <v>Фото</v>
      </c>
      <c r="H488" s="18">
        <v>12.6</v>
      </c>
      <c r="I488" s="27"/>
      <c r="J488" s="13">
        <f>H488*I488</f>
        <v>0</v>
      </c>
    </row>
    <row r="489" spans="1:10" ht="12" customHeight="1">
      <c r="A489" s="13" t="s">
        <v>8794</v>
      </c>
      <c r="B489" s="13" t="s">
        <v>8795</v>
      </c>
      <c r="C489" s="13" t="s">
        <v>274</v>
      </c>
      <c r="D489" s="13" t="s">
        <v>8717</v>
      </c>
      <c r="E489" s="13" t="s">
        <v>93</v>
      </c>
      <c r="F489" s="13" t="s">
        <v>8796</v>
      </c>
      <c r="G489" s="20" t="str">
        <f>HYPERLINK("https://semena-nn.ru/catalog/31/888000000723","Фото")</f>
        <v>Фото</v>
      </c>
      <c r="H489" s="18">
        <v>21.5</v>
      </c>
      <c r="I489" s="27"/>
      <c r="J489" s="13">
        <f>H489*I489</f>
        <v>0</v>
      </c>
    </row>
    <row r="490" spans="1:10" ht="12" customHeight="1">
      <c r="A490" s="13" t="s">
        <v>7847</v>
      </c>
      <c r="B490" s="13" t="s">
        <v>7848</v>
      </c>
      <c r="C490" s="13" t="s">
        <v>274</v>
      </c>
      <c r="D490" s="13" t="s">
        <v>7728</v>
      </c>
      <c r="E490" s="13" t="s">
        <v>93</v>
      </c>
      <c r="F490" s="13" t="s">
        <v>7849</v>
      </c>
      <c r="G490" s="20" t="str">
        <f>HYPERLINK("https://semena-nn.ru/catalog/31/94217","Фото")</f>
        <v>Фото</v>
      </c>
      <c r="H490" s="19">
        <v>23.15</v>
      </c>
      <c r="I490" s="27"/>
      <c r="J490" s="13">
        <f>H490*I490</f>
        <v>0</v>
      </c>
    </row>
    <row r="491" spans="1:10" ht="12" customHeight="1">
      <c r="A491" s="13" t="s">
        <v>2746</v>
      </c>
      <c r="B491" s="13" t="s">
        <v>2747</v>
      </c>
      <c r="C491" s="13" t="s">
        <v>274</v>
      </c>
      <c r="D491" s="13" t="s">
        <v>697</v>
      </c>
      <c r="E491" s="13" t="s">
        <v>2636</v>
      </c>
      <c r="F491" s="13" t="s">
        <v>2748</v>
      </c>
      <c r="G491" s="20" t="str">
        <f>HYPERLINK("http://semena-nn.ru/catalog/31/92815","Фото")</f>
        <v>Фото</v>
      </c>
      <c r="H491" s="19">
        <v>14.95</v>
      </c>
      <c r="I491" s="27"/>
      <c r="J491" s="13">
        <f>H491*I491</f>
        <v>0</v>
      </c>
    </row>
    <row r="492" spans="1:10" ht="12" customHeight="1">
      <c r="A492" s="13" t="s">
        <v>7850</v>
      </c>
      <c r="B492" s="13" t="s">
        <v>7851</v>
      </c>
      <c r="C492" s="13" t="s">
        <v>406</v>
      </c>
      <c r="D492" s="13" t="s">
        <v>7728</v>
      </c>
      <c r="E492" s="13" t="s">
        <v>93</v>
      </c>
      <c r="F492" s="13" t="s">
        <v>7852</v>
      </c>
      <c r="G492" s="20" t="str">
        <f>HYPERLINK("https://semena-nn.ru/catalog/38/1125492","Фото")</f>
        <v>Фото</v>
      </c>
      <c r="H492" s="15">
        <v>46</v>
      </c>
      <c r="I492" s="27"/>
      <c r="J492" s="13">
        <f>H492*I492</f>
        <v>0</v>
      </c>
    </row>
    <row r="493" spans="1:10" ht="12" customHeight="1">
      <c r="A493" s="13" t="s">
        <v>1032</v>
      </c>
      <c r="B493" s="13" t="s">
        <v>1033</v>
      </c>
      <c r="C493" s="13" t="s">
        <v>274</v>
      </c>
      <c r="D493" s="13" t="s">
        <v>697</v>
      </c>
      <c r="E493" s="13" t="s">
        <v>93</v>
      </c>
      <c r="F493" s="13" t="s">
        <v>1034</v>
      </c>
      <c r="G493" s="20" t="str">
        <f>HYPERLINK("http://www.semena-nn.ru/catalog/31/1298479","Фото")</f>
        <v>Фото</v>
      </c>
      <c r="H493" s="18">
        <v>22.2</v>
      </c>
      <c r="I493" s="27"/>
      <c r="J493" s="13">
        <f>H493*I493</f>
        <v>0</v>
      </c>
    </row>
    <row r="494" spans="1:10" ht="12" customHeight="1">
      <c r="A494" s="13" t="s">
        <v>6974</v>
      </c>
      <c r="B494" s="13" t="s">
        <v>6975</v>
      </c>
      <c r="C494" s="13" t="s">
        <v>274</v>
      </c>
      <c r="D494" s="13" t="s">
        <v>6927</v>
      </c>
      <c r="E494" s="13" t="s">
        <v>93</v>
      </c>
      <c r="F494" s="13" t="s">
        <v>6976</v>
      </c>
      <c r="G494" s="20" t="str">
        <f>HYPERLINK("http://semena-nn.ru/catalog/31/1120437","Фото")</f>
        <v>Фото</v>
      </c>
      <c r="H494" s="18">
        <v>31.9</v>
      </c>
      <c r="I494" s="27"/>
      <c r="J494" s="13">
        <f>H494*I494</f>
        <v>0</v>
      </c>
    </row>
    <row r="495" spans="1:10" ht="12" customHeight="1">
      <c r="A495" s="13" t="s">
        <v>6977</v>
      </c>
      <c r="B495" s="13" t="s">
        <v>6978</v>
      </c>
      <c r="C495" s="13" t="s">
        <v>274</v>
      </c>
      <c r="D495" s="13" t="s">
        <v>6927</v>
      </c>
      <c r="E495" s="13" t="s">
        <v>93</v>
      </c>
      <c r="F495" s="13" t="s">
        <v>6979</v>
      </c>
      <c r="G495" s="20" t="str">
        <f>HYPERLINK("https://semena-nn.ru/catalog/31/888000000300","Фото")</f>
        <v>Фото</v>
      </c>
      <c r="H495" s="18">
        <v>32.799999999999997</v>
      </c>
      <c r="I495" s="27"/>
      <c r="J495" s="13">
        <f>H495*I495</f>
        <v>0</v>
      </c>
    </row>
    <row r="496" spans="1:10" ht="12" customHeight="1">
      <c r="A496" s="13" t="s">
        <v>1035</v>
      </c>
      <c r="B496" s="13" t="s">
        <v>1036</v>
      </c>
      <c r="C496" s="13" t="s">
        <v>274</v>
      </c>
      <c r="D496" s="13" t="s">
        <v>697</v>
      </c>
      <c r="E496" s="13" t="s">
        <v>93</v>
      </c>
      <c r="F496" s="13" t="s">
        <v>1037</v>
      </c>
      <c r="G496" s="20" t="str">
        <f>HYPERLINK("https://semena-nn.ru/catalog/31/1123268","Фото")</f>
        <v>Фото</v>
      </c>
      <c r="H496" s="19">
        <v>29.85</v>
      </c>
      <c r="I496" s="27"/>
      <c r="J496" s="13">
        <f>H496*I496</f>
        <v>0</v>
      </c>
    </row>
    <row r="497" spans="1:10" ht="12" customHeight="1">
      <c r="A497" s="13" t="s">
        <v>7853</v>
      </c>
      <c r="B497" s="13" t="s">
        <v>7854</v>
      </c>
      <c r="C497" s="13" t="s">
        <v>274</v>
      </c>
      <c r="D497" s="13" t="s">
        <v>7728</v>
      </c>
      <c r="E497" s="13" t="s">
        <v>93</v>
      </c>
      <c r="F497" s="13" t="s">
        <v>7855</v>
      </c>
      <c r="G497" s="20" t="str">
        <f>HYPERLINK("https://semena-nn.ru/catalog/31/94216","Фото")</f>
        <v>Фото</v>
      </c>
      <c r="H497" s="18">
        <v>36.5</v>
      </c>
      <c r="I497" s="27"/>
      <c r="J497" s="13">
        <f>H497*I497</f>
        <v>0</v>
      </c>
    </row>
    <row r="498" spans="1:10" ht="12" customHeight="1">
      <c r="A498" s="13" t="s">
        <v>279</v>
      </c>
      <c r="B498" s="13" t="s">
        <v>280</v>
      </c>
      <c r="C498" s="13" t="s">
        <v>274</v>
      </c>
      <c r="D498" s="13" t="s">
        <v>28</v>
      </c>
      <c r="E498" s="13" t="s">
        <v>93</v>
      </c>
      <c r="F498" s="13" t="s">
        <v>281</v>
      </c>
      <c r="G498" s="20" t="str">
        <f>HYPERLINK("https://semena-nn.ru/catalog/31/999000020329","Фото")</f>
        <v>Фото</v>
      </c>
      <c r="H498" s="19">
        <v>27.62</v>
      </c>
      <c r="I498" s="27"/>
      <c r="J498" s="13">
        <f>H498*I498</f>
        <v>0</v>
      </c>
    </row>
    <row r="499" spans="1:10" ht="12" customHeight="1">
      <c r="A499" s="13" t="s">
        <v>1038</v>
      </c>
      <c r="B499" s="13" t="s">
        <v>1039</v>
      </c>
      <c r="C499" s="13" t="s">
        <v>274</v>
      </c>
      <c r="D499" s="13" t="s">
        <v>697</v>
      </c>
      <c r="E499" s="13" t="s">
        <v>93</v>
      </c>
      <c r="F499" s="13" t="s">
        <v>1040</v>
      </c>
      <c r="G499" s="20" t="str">
        <f>HYPERLINK("http://semena-nn.ru/catalog/2/31/big_1124922.jpg","Фото")</f>
        <v>Фото</v>
      </c>
      <c r="H499" s="19">
        <v>20.95</v>
      </c>
      <c r="I499" s="27"/>
      <c r="J499" s="13">
        <f>H499*I499</f>
        <v>0</v>
      </c>
    </row>
    <row r="500" spans="1:10" ht="12" customHeight="1">
      <c r="A500" s="13" t="s">
        <v>3647</v>
      </c>
      <c r="B500" s="13" t="s">
        <v>3648</v>
      </c>
      <c r="C500" s="13" t="s">
        <v>274</v>
      </c>
      <c r="D500" s="13" t="s">
        <v>3475</v>
      </c>
      <c r="E500" s="13" t="s">
        <v>93</v>
      </c>
      <c r="F500" s="13" t="s">
        <v>3649</v>
      </c>
      <c r="G500" s="20" t="str">
        <f>HYPERLINK("http://semena-nn.ru/catalog/31/100566","Фото")</f>
        <v>Фото</v>
      </c>
      <c r="H500" s="18">
        <v>18.7</v>
      </c>
      <c r="I500" s="27"/>
      <c r="J500" s="13">
        <f>H500*I500</f>
        <v>0</v>
      </c>
    </row>
    <row r="501" spans="1:10" ht="12" customHeight="1">
      <c r="A501" s="13" t="s">
        <v>6899</v>
      </c>
      <c r="B501" s="13" t="s">
        <v>6900</v>
      </c>
      <c r="C501" s="13" t="s">
        <v>274</v>
      </c>
      <c r="D501" s="13" t="s">
        <v>87</v>
      </c>
      <c r="E501" s="13" t="s">
        <v>2636</v>
      </c>
      <c r="F501" s="13" t="s">
        <v>6901</v>
      </c>
      <c r="G501" s="20" t="str">
        <f>HYPERLINK("https://semena-nn.ru/catalog/31/1121777","Фото")</f>
        <v>Фото</v>
      </c>
      <c r="H501" s="18">
        <v>10.199999999999999</v>
      </c>
      <c r="I501" s="27"/>
      <c r="J501" s="13">
        <f>H501*I501</f>
        <v>0</v>
      </c>
    </row>
    <row r="502" spans="1:10" ht="12" customHeight="1">
      <c r="A502" s="13" t="s">
        <v>3650</v>
      </c>
      <c r="B502" s="13" t="s">
        <v>3651</v>
      </c>
      <c r="C502" s="13" t="s">
        <v>274</v>
      </c>
      <c r="D502" s="13" t="s">
        <v>3475</v>
      </c>
      <c r="E502" s="13" t="s">
        <v>93</v>
      </c>
      <c r="F502" s="13" t="s">
        <v>3652</v>
      </c>
      <c r="G502" s="20" t="str">
        <f>HYPERLINK("http://semena-nn.ru/catalog/31/100573","Фото")</f>
        <v>Фото</v>
      </c>
      <c r="H502" s="19">
        <v>45.15</v>
      </c>
      <c r="I502" s="27"/>
      <c r="J502" s="13">
        <f>H502*I502</f>
        <v>0</v>
      </c>
    </row>
    <row r="503" spans="1:10" ht="12" customHeight="1">
      <c r="A503" s="13" t="s">
        <v>8797</v>
      </c>
      <c r="B503" s="13" t="s">
        <v>8798</v>
      </c>
      <c r="C503" s="13" t="s">
        <v>274</v>
      </c>
      <c r="D503" s="13" t="s">
        <v>8717</v>
      </c>
      <c r="E503" s="13" t="s">
        <v>93</v>
      </c>
      <c r="F503" s="13" t="s">
        <v>8799</v>
      </c>
      <c r="G503" s="20" t="str">
        <f>HYPERLINK("https://semena-nn.ru/catalog/31/1303708","Фото")</f>
        <v>Фото</v>
      </c>
      <c r="H503" s="19">
        <v>37.549999999999997</v>
      </c>
      <c r="I503" s="27"/>
      <c r="J503" s="13">
        <f>H503*I503</f>
        <v>0</v>
      </c>
    </row>
    <row r="504" spans="1:10" ht="12" customHeight="1">
      <c r="A504" s="13" t="s">
        <v>3653</v>
      </c>
      <c r="B504" s="13" t="s">
        <v>3654</v>
      </c>
      <c r="C504" s="13" t="s">
        <v>274</v>
      </c>
      <c r="D504" s="13" t="s">
        <v>3475</v>
      </c>
      <c r="E504" s="13" t="s">
        <v>93</v>
      </c>
      <c r="F504" s="13" t="s">
        <v>3655</v>
      </c>
      <c r="G504" s="20" t="str">
        <f>HYPERLINK("https://semena-nn.ru/catalog/31/999000004931","Фото")</f>
        <v>Фото</v>
      </c>
      <c r="H504" s="18">
        <v>30.6</v>
      </c>
      <c r="I504" s="27"/>
      <c r="J504" s="13">
        <f>H504*I504</f>
        <v>0</v>
      </c>
    </row>
    <row r="505" spans="1:10" ht="12" customHeight="1">
      <c r="A505" s="13" t="s">
        <v>1041</v>
      </c>
      <c r="B505" s="13" t="s">
        <v>1042</v>
      </c>
      <c r="C505" s="13" t="s">
        <v>696</v>
      </c>
      <c r="D505" s="13" t="s">
        <v>697</v>
      </c>
      <c r="E505" s="13" t="s">
        <v>93</v>
      </c>
      <c r="F505" s="13" t="s">
        <v>1043</v>
      </c>
      <c r="G505" s="20" t="str">
        <f>HYPERLINK("http://semena-nn.ru/catalog/38/1124895","Фото")</f>
        <v>Фото</v>
      </c>
      <c r="H505" s="19">
        <v>25.85</v>
      </c>
      <c r="I505" s="27"/>
      <c r="J505" s="13">
        <f>H505*I505</f>
        <v>0</v>
      </c>
    </row>
    <row r="506" spans="1:10" ht="12" customHeight="1">
      <c r="A506" s="13" t="s">
        <v>1044</v>
      </c>
      <c r="B506" s="13" t="s">
        <v>1045</v>
      </c>
      <c r="C506" s="13" t="s">
        <v>33</v>
      </c>
      <c r="D506" s="13" t="s">
        <v>697</v>
      </c>
      <c r="E506" s="13" t="s">
        <v>93</v>
      </c>
      <c r="F506" s="17" t="s">
        <v>1046</v>
      </c>
      <c r="G506" s="20" t="str">
        <f>HYPERLINK("http://semena-nn.ru/catalog/1/1315413","Фото")</f>
        <v>Фото</v>
      </c>
      <c r="H506" s="19">
        <v>79.75</v>
      </c>
      <c r="I506" s="27"/>
      <c r="J506" s="13">
        <f>H506*I506</f>
        <v>0</v>
      </c>
    </row>
    <row r="507" spans="1:10" ht="12" customHeight="1">
      <c r="A507" s="13" t="s">
        <v>1047</v>
      </c>
      <c r="B507" s="13" t="s">
        <v>1048</v>
      </c>
      <c r="C507" s="13" t="s">
        <v>33</v>
      </c>
      <c r="D507" s="13" t="s">
        <v>697</v>
      </c>
      <c r="E507" s="13" t="s">
        <v>93</v>
      </c>
      <c r="F507" s="13" t="s">
        <v>1049</v>
      </c>
      <c r="G507" s="20" t="str">
        <f>HYPERLINK("https://semena-nn.ru/catalog/1/888000000462","Фото")</f>
        <v>Фото</v>
      </c>
      <c r="H507" s="19">
        <v>79.75</v>
      </c>
      <c r="I507" s="27"/>
      <c r="J507" s="13">
        <f>H507*I507</f>
        <v>0</v>
      </c>
    </row>
    <row r="508" spans="1:10" ht="12" customHeight="1">
      <c r="A508" s="13" t="s">
        <v>1050</v>
      </c>
      <c r="B508" s="13" t="s">
        <v>1051</v>
      </c>
      <c r="C508" s="13" t="s">
        <v>33</v>
      </c>
      <c r="D508" s="13" t="s">
        <v>697</v>
      </c>
      <c r="E508" s="13" t="s">
        <v>93</v>
      </c>
      <c r="F508" s="13" t="s">
        <v>1052</v>
      </c>
      <c r="G508" s="20" t="str">
        <f>HYPERLINK("http://semena-nn.ru/catalog/1/1315700","Фото")</f>
        <v>Фото</v>
      </c>
      <c r="H508" s="19">
        <v>79.75</v>
      </c>
      <c r="I508" s="27"/>
      <c r="J508" s="13">
        <f>H508*I508</f>
        <v>0</v>
      </c>
    </row>
    <row r="509" spans="1:10" ht="12" customHeight="1">
      <c r="A509" s="13" t="s">
        <v>1053</v>
      </c>
      <c r="B509" s="13" t="s">
        <v>1054</v>
      </c>
      <c r="C509" s="13" t="s">
        <v>33</v>
      </c>
      <c r="D509" s="13" t="s">
        <v>697</v>
      </c>
      <c r="E509" s="13" t="s">
        <v>93</v>
      </c>
      <c r="F509" s="13" t="s">
        <v>1055</v>
      </c>
      <c r="G509" s="20" t="str">
        <f>HYPERLINK("https://semena-nn.ru/catalog/1/999000003356","Фото")</f>
        <v>Фото</v>
      </c>
      <c r="H509" s="19">
        <v>79.75</v>
      </c>
      <c r="I509" s="27"/>
      <c r="J509" s="13">
        <f>H509*I509</f>
        <v>0</v>
      </c>
    </row>
    <row r="510" spans="1:10" ht="12" customHeight="1">
      <c r="A510" s="13" t="s">
        <v>1056</v>
      </c>
      <c r="B510" s="13" t="s">
        <v>1057</v>
      </c>
      <c r="C510" s="13" t="s">
        <v>696</v>
      </c>
      <c r="D510" s="13" t="s">
        <v>697</v>
      </c>
      <c r="E510" s="13" t="s">
        <v>93</v>
      </c>
      <c r="F510" s="13" t="s">
        <v>1058</v>
      </c>
      <c r="G510" s="20" t="str">
        <f>HYPERLINK("http://semena-nn.ru/catalog/38/113151","Фото")</f>
        <v>Фото</v>
      </c>
      <c r="H510" s="18">
        <v>18.7</v>
      </c>
      <c r="I510" s="27"/>
      <c r="J510" s="13">
        <f>H510*I510</f>
        <v>0</v>
      </c>
    </row>
    <row r="511" spans="1:10" ht="12" customHeight="1">
      <c r="A511" s="13" t="s">
        <v>3656</v>
      </c>
      <c r="B511" s="13" t="s">
        <v>3657</v>
      </c>
      <c r="C511" s="13" t="s">
        <v>696</v>
      </c>
      <c r="D511" s="13" t="s">
        <v>3475</v>
      </c>
      <c r="E511" s="13" t="s">
        <v>93</v>
      </c>
      <c r="F511" s="13" t="s">
        <v>3658</v>
      </c>
      <c r="G511" s="20" t="str">
        <f>HYPERLINK("https://semena-nn.ru/catalog/38/999000009370","Фото")</f>
        <v>Фото</v>
      </c>
      <c r="H511" s="18">
        <v>21.5</v>
      </c>
      <c r="I511" s="27"/>
      <c r="J511" s="13">
        <f>H511*I511</f>
        <v>0</v>
      </c>
    </row>
    <row r="512" spans="1:10" ht="12" customHeight="1">
      <c r="A512" s="13" t="s">
        <v>1059</v>
      </c>
      <c r="B512" s="13" t="s">
        <v>1060</v>
      </c>
      <c r="C512" s="13" t="s">
        <v>406</v>
      </c>
      <c r="D512" s="13" t="s">
        <v>697</v>
      </c>
      <c r="E512" s="13" t="s">
        <v>93</v>
      </c>
      <c r="F512" s="13" t="s">
        <v>1061</v>
      </c>
      <c r="G512" s="20" t="str">
        <f>HYPERLINK("https://semena-nn.ru/catalog/38/111278","Фото")</f>
        <v>Фото</v>
      </c>
      <c r="H512" s="18">
        <v>18.7</v>
      </c>
      <c r="I512" s="27"/>
      <c r="J512" s="13">
        <f>H512*I512</f>
        <v>0</v>
      </c>
    </row>
    <row r="513" spans="1:10" ht="12" customHeight="1">
      <c r="A513" s="13" t="s">
        <v>3659</v>
      </c>
      <c r="B513" s="13" t="s">
        <v>3660</v>
      </c>
      <c r="C513" s="13" t="s">
        <v>3661</v>
      </c>
      <c r="D513" s="13" t="s">
        <v>3475</v>
      </c>
      <c r="E513" s="13" t="s">
        <v>93</v>
      </c>
      <c r="F513" s="13" t="s">
        <v>3662</v>
      </c>
      <c r="G513" s="20" t="str">
        <f>HYPERLINK("https://semena-nn.ru/catalog/54/1308007","Фото")</f>
        <v>Фото</v>
      </c>
      <c r="H513" s="18">
        <v>44.3</v>
      </c>
      <c r="I513" s="27"/>
      <c r="J513" s="13">
        <f>H513*I513</f>
        <v>0</v>
      </c>
    </row>
    <row r="514" spans="1:10" ht="12" customHeight="1">
      <c r="A514" s="13" t="s">
        <v>6457</v>
      </c>
      <c r="B514" s="13" t="s">
        <v>6458</v>
      </c>
      <c r="C514" s="13" t="s">
        <v>431</v>
      </c>
      <c r="D514" s="13" t="s">
        <v>87</v>
      </c>
      <c r="E514" s="13" t="s">
        <v>93</v>
      </c>
      <c r="F514" s="13" t="s">
        <v>6459</v>
      </c>
      <c r="G514" s="20" t="str">
        <f>HYPERLINK("https://semena-nn.ru/catalog/43/999000020317","Фото")</f>
        <v>Фото</v>
      </c>
      <c r="H514" s="18">
        <v>18.8</v>
      </c>
      <c r="I514" s="27"/>
      <c r="J514" s="13">
        <f>H514*I514</f>
        <v>0</v>
      </c>
    </row>
    <row r="515" spans="1:10" ht="12" customHeight="1">
      <c r="A515" s="13" t="s">
        <v>3663</v>
      </c>
      <c r="B515" s="13" t="s">
        <v>3664</v>
      </c>
      <c r="C515" s="13" t="s">
        <v>431</v>
      </c>
      <c r="D515" s="13" t="s">
        <v>3475</v>
      </c>
      <c r="E515" s="13" t="s">
        <v>93</v>
      </c>
      <c r="F515" s="13" t="s">
        <v>3665</v>
      </c>
      <c r="G515" s="20" t="str">
        <f>HYPERLINK("http://semena-nn.ru/catalog/43/999000006203","Фото")</f>
        <v>Фото</v>
      </c>
      <c r="H515" s="18">
        <v>18.7</v>
      </c>
      <c r="I515" s="27"/>
      <c r="J515" s="13">
        <f>H515*I515</f>
        <v>0</v>
      </c>
    </row>
    <row r="516" spans="1:10" ht="12" customHeight="1">
      <c r="A516" s="13" t="s">
        <v>3161</v>
      </c>
      <c r="B516" s="13" t="s">
        <v>3162</v>
      </c>
      <c r="C516" s="13" t="s">
        <v>431</v>
      </c>
      <c r="D516" s="13" t="s">
        <v>697</v>
      </c>
      <c r="E516" s="13" t="s">
        <v>3064</v>
      </c>
      <c r="F516" s="13" t="s">
        <v>3163</v>
      </c>
      <c r="G516" s="20" t="str">
        <f>HYPERLINK("http://semena-nn.ru/catalog/43/1315358","Фото")</f>
        <v>Фото</v>
      </c>
      <c r="H516" s="19">
        <v>12.05</v>
      </c>
      <c r="I516" s="27"/>
      <c r="J516" s="13">
        <f>H516*I516</f>
        <v>0</v>
      </c>
    </row>
    <row r="517" spans="1:10" ht="12" customHeight="1">
      <c r="A517" s="13" t="s">
        <v>3666</v>
      </c>
      <c r="B517" s="13" t="s">
        <v>3667</v>
      </c>
      <c r="C517" s="13" t="s">
        <v>696</v>
      </c>
      <c r="D517" s="13" t="s">
        <v>3475</v>
      </c>
      <c r="E517" s="13" t="s">
        <v>93</v>
      </c>
      <c r="F517" s="13" t="s">
        <v>3668</v>
      </c>
      <c r="G517" s="20" t="str">
        <f>HYPERLINK("http://semena-nn.ru/catalog/38/1304985","Фото")</f>
        <v>Фото</v>
      </c>
      <c r="H517" s="18">
        <v>18.7</v>
      </c>
      <c r="I517" s="27"/>
      <c r="J517" s="13">
        <f>H517*I517</f>
        <v>0</v>
      </c>
    </row>
    <row r="518" spans="1:10" ht="12" customHeight="1">
      <c r="A518" s="13" t="s">
        <v>2749</v>
      </c>
      <c r="B518" s="13" t="s">
        <v>2750</v>
      </c>
      <c r="C518" s="13" t="s">
        <v>696</v>
      </c>
      <c r="D518" s="13" t="s">
        <v>697</v>
      </c>
      <c r="E518" s="13" t="s">
        <v>2636</v>
      </c>
      <c r="F518" s="13" t="s">
        <v>2751</v>
      </c>
      <c r="G518" s="20" t="str">
        <f>HYPERLINK("http://semena-nn.ru/catalog/38/93334","Фото")</f>
        <v>Фото</v>
      </c>
      <c r="H518" s="19">
        <v>7.85</v>
      </c>
      <c r="I518" s="27"/>
      <c r="J518" s="13">
        <f>H518*I518</f>
        <v>0</v>
      </c>
    </row>
    <row r="519" spans="1:10" ht="12" customHeight="1">
      <c r="A519" s="13" t="s">
        <v>1062</v>
      </c>
      <c r="B519" s="13" t="s">
        <v>1063</v>
      </c>
      <c r="C519" s="13" t="s">
        <v>208</v>
      </c>
      <c r="D519" s="13" t="s">
        <v>697</v>
      </c>
      <c r="E519" s="13" t="s">
        <v>93</v>
      </c>
      <c r="F519" s="13" t="s">
        <v>1064</v>
      </c>
      <c r="G519" s="20" t="str">
        <f>HYPERLINK("https://semena-nn.ru/catalog/53/999000009154","Фото")</f>
        <v>Фото</v>
      </c>
      <c r="H519" s="18">
        <v>34.200000000000003</v>
      </c>
      <c r="I519" s="27"/>
      <c r="J519" s="13">
        <f>H519*I519</f>
        <v>0</v>
      </c>
    </row>
    <row r="520" spans="1:10" ht="12" customHeight="1">
      <c r="A520" s="13" t="s">
        <v>3669</v>
      </c>
      <c r="B520" s="13" t="s">
        <v>3670</v>
      </c>
      <c r="C520" s="13" t="s">
        <v>208</v>
      </c>
      <c r="D520" s="13" t="s">
        <v>3475</v>
      </c>
      <c r="E520" s="13" t="s">
        <v>93</v>
      </c>
      <c r="F520" s="13" t="s">
        <v>3671</v>
      </c>
      <c r="G520" s="20" t="str">
        <f>HYPERLINK("https://semena-nn.ru/catalog/53/1119660","Фото")</f>
        <v>Фото</v>
      </c>
      <c r="H520" s="18">
        <v>49.4</v>
      </c>
      <c r="I520" s="27"/>
      <c r="J520" s="13">
        <f>H520*I520</f>
        <v>0</v>
      </c>
    </row>
    <row r="521" spans="1:10" ht="12" customHeight="1">
      <c r="A521" s="13" t="s">
        <v>1065</v>
      </c>
      <c r="B521" s="13" t="s">
        <v>1066</v>
      </c>
      <c r="C521" s="13" t="s">
        <v>406</v>
      </c>
      <c r="D521" s="13" t="s">
        <v>697</v>
      </c>
      <c r="E521" s="13" t="s">
        <v>93</v>
      </c>
      <c r="F521" s="13" t="s">
        <v>1067</v>
      </c>
      <c r="G521" s="20" t="str">
        <f>HYPERLINK("http://semena-nn.ru/catalog/38/999000005770","Фото")</f>
        <v>Фото</v>
      </c>
      <c r="H521" s="18">
        <v>63.9</v>
      </c>
      <c r="I521" s="27"/>
      <c r="J521" s="13">
        <f>H521*I521</f>
        <v>0</v>
      </c>
    </row>
    <row r="522" spans="1:10" ht="12" customHeight="1">
      <c r="A522" s="13" t="s">
        <v>1068</v>
      </c>
      <c r="B522" s="13" t="s">
        <v>1069</v>
      </c>
      <c r="C522" s="13" t="s">
        <v>406</v>
      </c>
      <c r="D522" s="13" t="s">
        <v>697</v>
      </c>
      <c r="E522" s="13" t="s">
        <v>93</v>
      </c>
      <c r="F522" s="17" t="s">
        <v>1070</v>
      </c>
      <c r="G522" s="20" t="str">
        <f>HYPERLINK("https://semena-nn.ru/catalog/38/999000000573","Фото")</f>
        <v>Фото</v>
      </c>
      <c r="H522" s="19">
        <v>28.75</v>
      </c>
      <c r="I522" s="27"/>
      <c r="J522" s="13">
        <f>H522*I522</f>
        <v>0</v>
      </c>
    </row>
    <row r="523" spans="1:10" ht="12" customHeight="1">
      <c r="A523" s="13" t="s">
        <v>1071</v>
      </c>
      <c r="B523" s="13" t="s">
        <v>1072</v>
      </c>
      <c r="C523" s="13" t="s">
        <v>406</v>
      </c>
      <c r="D523" s="13" t="s">
        <v>697</v>
      </c>
      <c r="E523" s="13" t="s">
        <v>93</v>
      </c>
      <c r="F523" s="13" t="s">
        <v>1073</v>
      </c>
      <c r="G523" s="20" t="str">
        <f>HYPERLINK("http://semena-nn.ru/catalog/38/999000005771","Фото")</f>
        <v>Фото</v>
      </c>
      <c r="H523" s="18">
        <v>26.1</v>
      </c>
      <c r="I523" s="27"/>
      <c r="J523" s="13">
        <f>H523*I523</f>
        <v>0</v>
      </c>
    </row>
    <row r="524" spans="1:10" ht="12" customHeight="1">
      <c r="A524" s="13" t="s">
        <v>1074</v>
      </c>
      <c r="B524" s="13" t="s">
        <v>1075</v>
      </c>
      <c r="C524" s="13" t="s">
        <v>406</v>
      </c>
      <c r="D524" s="13" t="s">
        <v>697</v>
      </c>
      <c r="E524" s="13" t="s">
        <v>93</v>
      </c>
      <c r="F524" s="13" t="s">
        <v>1076</v>
      </c>
      <c r="G524" s="20" t="str">
        <f>HYPERLINK("https://semena-nn.ru/catalog/38/999000012833","Фото")</f>
        <v>Фото</v>
      </c>
      <c r="H524" s="18">
        <v>45.6</v>
      </c>
      <c r="I524" s="27"/>
      <c r="J524" s="13">
        <f>H524*I524</f>
        <v>0</v>
      </c>
    </row>
    <row r="525" spans="1:10" ht="12" customHeight="1">
      <c r="A525" s="13" t="s">
        <v>1077</v>
      </c>
      <c r="B525" s="13" t="s">
        <v>1078</v>
      </c>
      <c r="C525" s="13" t="s">
        <v>406</v>
      </c>
      <c r="D525" s="13" t="s">
        <v>697</v>
      </c>
      <c r="E525" s="13" t="s">
        <v>93</v>
      </c>
      <c r="F525" s="17" t="s">
        <v>1079</v>
      </c>
      <c r="G525" s="20" t="str">
        <f>HYPERLINK("https://semena-nn.ru/catalog/38/1116616","Фото")</f>
        <v>Фото</v>
      </c>
      <c r="H525" s="18">
        <v>38.200000000000003</v>
      </c>
      <c r="I525" s="27"/>
      <c r="J525" s="13">
        <f>H525*I525</f>
        <v>0</v>
      </c>
    </row>
    <row r="526" spans="1:10" ht="12" customHeight="1">
      <c r="A526" s="13" t="s">
        <v>1080</v>
      </c>
      <c r="B526" s="13" t="s">
        <v>1081</v>
      </c>
      <c r="C526" s="13" t="s">
        <v>406</v>
      </c>
      <c r="D526" s="13" t="s">
        <v>697</v>
      </c>
      <c r="E526" s="13" t="s">
        <v>93</v>
      </c>
      <c r="F526" s="13" t="s">
        <v>1082</v>
      </c>
      <c r="G526" s="20" t="str">
        <f>HYPERLINK("https://semena-nn.ru/catalog/38/1120702","Фото")</f>
        <v>Фото</v>
      </c>
      <c r="H526" s="19">
        <v>28.35</v>
      </c>
      <c r="I526" s="27"/>
      <c r="J526" s="13">
        <f>H526*I526</f>
        <v>0</v>
      </c>
    </row>
    <row r="527" spans="1:10" ht="12" customHeight="1">
      <c r="A527" s="13" t="s">
        <v>3672</v>
      </c>
      <c r="B527" s="13" t="s">
        <v>3673</v>
      </c>
      <c r="C527" s="13" t="s">
        <v>208</v>
      </c>
      <c r="D527" s="13" t="s">
        <v>3475</v>
      </c>
      <c r="E527" s="13" t="s">
        <v>93</v>
      </c>
      <c r="F527" s="13" t="s">
        <v>3674</v>
      </c>
      <c r="G527" s="20" t="str">
        <f>HYPERLINK("https://semena-nn.ru/catalog/53/999000009378","Фото")</f>
        <v>Фото</v>
      </c>
      <c r="H527" s="18">
        <v>42.5</v>
      </c>
      <c r="I527" s="27"/>
      <c r="J527" s="13">
        <f>H527*I527</f>
        <v>0</v>
      </c>
    </row>
    <row r="528" spans="1:10" ht="12" customHeight="1">
      <c r="A528" s="13" t="s">
        <v>7856</v>
      </c>
      <c r="B528" s="13" t="s">
        <v>7857</v>
      </c>
      <c r="C528" s="13" t="s">
        <v>284</v>
      </c>
      <c r="D528" s="13" t="s">
        <v>7728</v>
      </c>
      <c r="E528" s="13" t="s">
        <v>93</v>
      </c>
      <c r="F528" s="13" t="s">
        <v>7858</v>
      </c>
      <c r="G528" s="20" t="str">
        <f>HYPERLINK("http://www.semena-nn.ru/catalog/32/1314092","Фото")</f>
        <v>Фото</v>
      </c>
      <c r="H528" s="18">
        <v>21.6</v>
      </c>
      <c r="I528" s="27"/>
      <c r="J528" s="13">
        <f>H528*I528</f>
        <v>0</v>
      </c>
    </row>
    <row r="529" spans="1:10" ht="12" customHeight="1">
      <c r="A529" s="13" t="s">
        <v>3675</v>
      </c>
      <c r="B529" s="13" t="s">
        <v>3676</v>
      </c>
      <c r="C529" s="13" t="s">
        <v>284</v>
      </c>
      <c r="D529" s="13" t="s">
        <v>3475</v>
      </c>
      <c r="E529" s="13" t="s">
        <v>93</v>
      </c>
      <c r="F529" s="13" t="s">
        <v>3677</v>
      </c>
      <c r="G529" s="20" t="str">
        <f>HYPERLINK("http://semena-nn.ru/admin/catalog/1118198","Фото")</f>
        <v>Фото</v>
      </c>
      <c r="H529" s="15">
        <v>65</v>
      </c>
      <c r="I529" s="27"/>
      <c r="J529" s="13">
        <f>H529*I529</f>
        <v>0</v>
      </c>
    </row>
    <row r="530" spans="1:10" ht="12" customHeight="1">
      <c r="A530" s="13" t="s">
        <v>1083</v>
      </c>
      <c r="B530" s="13" t="s">
        <v>1084</v>
      </c>
      <c r="C530" s="13" t="s">
        <v>284</v>
      </c>
      <c r="D530" s="13" t="s">
        <v>697</v>
      </c>
      <c r="E530" s="13" t="s">
        <v>1085</v>
      </c>
      <c r="F530" s="13" t="s">
        <v>1086</v>
      </c>
      <c r="G530" s="20" t="str">
        <f>HYPERLINK("http://semena-nn.ru/catalog/32/97480","Фото")</f>
        <v>Фото</v>
      </c>
      <c r="H530" s="18">
        <v>26.4</v>
      </c>
      <c r="I530" s="27"/>
      <c r="J530" s="13">
        <f>H530*I530</f>
        <v>0</v>
      </c>
    </row>
    <row r="531" spans="1:10" ht="12" customHeight="1">
      <c r="A531" s="13" t="s">
        <v>2752</v>
      </c>
      <c r="B531" s="13" t="s">
        <v>2753</v>
      </c>
      <c r="C531" s="13" t="s">
        <v>284</v>
      </c>
      <c r="D531" s="13" t="s">
        <v>697</v>
      </c>
      <c r="E531" s="13" t="s">
        <v>2636</v>
      </c>
      <c r="F531" s="13" t="s">
        <v>1086</v>
      </c>
      <c r="G531" s="20" t="str">
        <f>HYPERLINK("http://semena-nn.ru/catalog/32/3169","Фото")</f>
        <v>Фото</v>
      </c>
      <c r="H531" s="18">
        <v>10.5</v>
      </c>
      <c r="I531" s="27"/>
      <c r="J531" s="13">
        <f>H531*I531</f>
        <v>0</v>
      </c>
    </row>
    <row r="532" spans="1:10" ht="12" customHeight="1">
      <c r="A532" s="13" t="s">
        <v>3678</v>
      </c>
      <c r="B532" s="13" t="s">
        <v>3679</v>
      </c>
      <c r="C532" s="13" t="s">
        <v>284</v>
      </c>
      <c r="D532" s="13" t="s">
        <v>3475</v>
      </c>
      <c r="E532" s="13" t="s">
        <v>93</v>
      </c>
      <c r="F532" s="13" t="s">
        <v>3680</v>
      </c>
      <c r="G532" s="20" t="str">
        <f>HYPERLINK("https://semena-nn.ru/catalog/14/999000012259","Фото")</f>
        <v>Фото</v>
      </c>
      <c r="H532" s="19">
        <v>27.05</v>
      </c>
      <c r="I532" s="27"/>
      <c r="J532" s="13">
        <f>H532*I532</f>
        <v>0</v>
      </c>
    </row>
    <row r="533" spans="1:10" ht="12" customHeight="1">
      <c r="A533" s="13" t="s">
        <v>3164</v>
      </c>
      <c r="B533" s="13" t="s">
        <v>3165</v>
      </c>
      <c r="C533" s="13" t="s">
        <v>284</v>
      </c>
      <c r="D533" s="13" t="s">
        <v>697</v>
      </c>
      <c r="E533" s="13" t="s">
        <v>3064</v>
      </c>
      <c r="F533" s="13" t="s">
        <v>3166</v>
      </c>
      <c r="G533" s="20" t="str">
        <f>HYPERLINK("http://semena-nn.ru/catalog/32/1288635","Фото")</f>
        <v>Фото</v>
      </c>
      <c r="H533" s="19">
        <v>12.65</v>
      </c>
      <c r="I533" s="27"/>
      <c r="J533" s="13">
        <f>H533*I533</f>
        <v>0</v>
      </c>
    </row>
    <row r="534" spans="1:10" ht="12" customHeight="1">
      <c r="A534" s="13" t="s">
        <v>1087</v>
      </c>
      <c r="B534" s="13" t="s">
        <v>1088</v>
      </c>
      <c r="C534" s="13" t="s">
        <v>284</v>
      </c>
      <c r="D534" s="13" t="s">
        <v>697</v>
      </c>
      <c r="E534" s="13" t="s">
        <v>93</v>
      </c>
      <c r="F534" s="13" t="s">
        <v>1089</v>
      </c>
      <c r="G534" s="20" t="str">
        <f>HYPERLINK("https://semena-nn.ru/catalog/32/1311275","Фото")</f>
        <v>Фото</v>
      </c>
      <c r="H534" s="18">
        <v>23.1</v>
      </c>
      <c r="I534" s="27"/>
      <c r="J534" s="13">
        <f>H534*I534</f>
        <v>0</v>
      </c>
    </row>
    <row r="535" spans="1:10" ht="12" customHeight="1">
      <c r="A535" s="13" t="s">
        <v>1090</v>
      </c>
      <c r="B535" s="13" t="s">
        <v>1091</v>
      </c>
      <c r="C535" s="13" t="s">
        <v>284</v>
      </c>
      <c r="D535" s="13" t="s">
        <v>697</v>
      </c>
      <c r="E535" s="13" t="s">
        <v>93</v>
      </c>
      <c r="F535" s="13" t="s">
        <v>1092</v>
      </c>
      <c r="G535" s="20" t="str">
        <f>HYPERLINK("https://semena-nn.ru/catalog/32/97899","Фото")</f>
        <v>Фото</v>
      </c>
      <c r="H535" s="18">
        <v>23.1</v>
      </c>
      <c r="I535" s="27"/>
      <c r="J535" s="13">
        <f>H535*I535</f>
        <v>0</v>
      </c>
    </row>
    <row r="536" spans="1:10" ht="12" customHeight="1">
      <c r="A536" s="13" t="s">
        <v>2754</v>
      </c>
      <c r="B536" s="13" t="s">
        <v>2755</v>
      </c>
      <c r="C536" s="13" t="s">
        <v>284</v>
      </c>
      <c r="D536" s="13" t="s">
        <v>697</v>
      </c>
      <c r="E536" s="13" t="s">
        <v>2636</v>
      </c>
      <c r="F536" s="13" t="s">
        <v>2756</v>
      </c>
      <c r="G536" s="20" t="str">
        <f>HYPERLINK("http://semena-nn.ru/catalog/32/1314273","Фото")</f>
        <v>Фото</v>
      </c>
      <c r="H536" s="18">
        <v>10.5</v>
      </c>
      <c r="I536" s="27"/>
      <c r="J536" s="13">
        <f>H536*I536</f>
        <v>0</v>
      </c>
    </row>
    <row r="537" spans="1:10" ht="12" customHeight="1">
      <c r="A537" s="13" t="s">
        <v>1093</v>
      </c>
      <c r="B537" s="13" t="s">
        <v>1094</v>
      </c>
      <c r="C537" s="13" t="s">
        <v>284</v>
      </c>
      <c r="D537" s="13" t="s">
        <v>697</v>
      </c>
      <c r="E537" s="13" t="s">
        <v>1085</v>
      </c>
      <c r="F537" s="13" t="s">
        <v>1095</v>
      </c>
      <c r="G537" s="20" t="str">
        <f>HYPERLINK("http://semena-nn.ru/catalog/32/1308042","Фото")</f>
        <v>Фото</v>
      </c>
      <c r="H537" s="18">
        <v>26.4</v>
      </c>
      <c r="I537" s="27"/>
      <c r="J537" s="13">
        <f>H537*I537</f>
        <v>0</v>
      </c>
    </row>
    <row r="538" spans="1:10" ht="12" customHeight="1">
      <c r="A538" s="13" t="s">
        <v>7859</v>
      </c>
      <c r="B538" s="13" t="s">
        <v>7860</v>
      </c>
      <c r="C538" s="13" t="s">
        <v>284</v>
      </c>
      <c r="D538" s="13" t="s">
        <v>7728</v>
      </c>
      <c r="E538" s="13" t="s">
        <v>93</v>
      </c>
      <c r="F538" s="13" t="s">
        <v>7861</v>
      </c>
      <c r="G538" s="20" t="str">
        <f>HYPERLINK("http://semena-nn.ru/catalog/2/32/big_94207.jpg","Фото")</f>
        <v>Фото</v>
      </c>
      <c r="H538" s="18">
        <v>21.6</v>
      </c>
      <c r="I538" s="27"/>
      <c r="J538" s="13">
        <f>H538*I538</f>
        <v>0</v>
      </c>
    </row>
    <row r="539" spans="1:10" ht="12" customHeight="1">
      <c r="A539" s="13" t="s">
        <v>1096</v>
      </c>
      <c r="B539" s="13" t="s">
        <v>1097</v>
      </c>
      <c r="C539" s="13" t="s">
        <v>284</v>
      </c>
      <c r="D539" s="13" t="s">
        <v>697</v>
      </c>
      <c r="E539" s="13" t="s">
        <v>1085</v>
      </c>
      <c r="F539" s="13" t="s">
        <v>1098</v>
      </c>
      <c r="G539" s="20" t="str">
        <f>HYPERLINK("http://semena-nn.ru/catalog/14/1308043","Фото")</f>
        <v>Фото</v>
      </c>
      <c r="H539" s="18">
        <v>26.4</v>
      </c>
      <c r="I539" s="27"/>
      <c r="J539" s="13">
        <f>H539*I539</f>
        <v>0</v>
      </c>
    </row>
    <row r="540" spans="1:10" ht="12" customHeight="1">
      <c r="A540" s="13" t="s">
        <v>3681</v>
      </c>
      <c r="B540" s="13" t="s">
        <v>3682</v>
      </c>
      <c r="C540" s="13" t="s">
        <v>284</v>
      </c>
      <c r="D540" s="13" t="s">
        <v>3475</v>
      </c>
      <c r="E540" s="13" t="s">
        <v>93</v>
      </c>
      <c r="F540" s="13" t="s">
        <v>3683</v>
      </c>
      <c r="G540" s="20" t="str">
        <f>HYPERLINK("https://semena-nn.ru/catalog/14/1299168","Фото")</f>
        <v>Фото</v>
      </c>
      <c r="H540" s="19">
        <v>27.05</v>
      </c>
      <c r="I540" s="27"/>
      <c r="J540" s="13">
        <f>H540*I540</f>
        <v>0</v>
      </c>
    </row>
    <row r="541" spans="1:10" ht="12" customHeight="1">
      <c r="A541" s="13" t="s">
        <v>6460</v>
      </c>
      <c r="B541" s="13" t="s">
        <v>6461</v>
      </c>
      <c r="C541" s="13" t="s">
        <v>284</v>
      </c>
      <c r="D541" s="13" t="s">
        <v>87</v>
      </c>
      <c r="E541" s="13" t="s">
        <v>3686</v>
      </c>
      <c r="F541" s="13" t="s">
        <v>6462</v>
      </c>
      <c r="G541" s="20" t="str">
        <f>HYPERLINK("https://semena-nn.ru/catalog/14/104889","Фото")</f>
        <v>Фото</v>
      </c>
      <c r="H541" s="18">
        <v>18.399999999999999</v>
      </c>
      <c r="I541" s="27"/>
      <c r="J541" s="13">
        <f>H541*I541</f>
        <v>0</v>
      </c>
    </row>
    <row r="542" spans="1:10" ht="12" customHeight="1">
      <c r="A542" s="13" t="s">
        <v>1099</v>
      </c>
      <c r="B542" s="13" t="s">
        <v>1100</v>
      </c>
      <c r="C542" s="13" t="s">
        <v>284</v>
      </c>
      <c r="D542" s="13" t="s">
        <v>697</v>
      </c>
      <c r="E542" s="13" t="s">
        <v>1085</v>
      </c>
      <c r="F542" s="13" t="s">
        <v>1101</v>
      </c>
      <c r="G542" s="20" t="str">
        <f>HYPERLINK("http://semena-nn.ru/catalog/14/108752","Фото")</f>
        <v>Фото</v>
      </c>
      <c r="H542" s="18">
        <v>26.4</v>
      </c>
      <c r="I542" s="27"/>
      <c r="J542" s="13">
        <f>H542*I542</f>
        <v>0</v>
      </c>
    </row>
    <row r="543" spans="1:10" ht="12" customHeight="1">
      <c r="A543" s="13" t="s">
        <v>2757</v>
      </c>
      <c r="B543" s="13" t="s">
        <v>2758</v>
      </c>
      <c r="C543" s="13" t="s">
        <v>284</v>
      </c>
      <c r="D543" s="13" t="s">
        <v>697</v>
      </c>
      <c r="E543" s="13" t="s">
        <v>2636</v>
      </c>
      <c r="F543" s="13" t="s">
        <v>2759</v>
      </c>
      <c r="G543" s="20" t="str">
        <f>HYPERLINK("http://semena-nn.ru/catalog/32/1283002","Фото")</f>
        <v>Фото</v>
      </c>
      <c r="H543" s="18">
        <v>10.5</v>
      </c>
      <c r="I543" s="27"/>
      <c r="J543" s="13">
        <f>H543*I543</f>
        <v>0</v>
      </c>
    </row>
    <row r="544" spans="1:10" ht="12" customHeight="1">
      <c r="A544" s="13" t="s">
        <v>3684</v>
      </c>
      <c r="B544" s="13" t="s">
        <v>3685</v>
      </c>
      <c r="C544" s="13" t="s">
        <v>284</v>
      </c>
      <c r="D544" s="13" t="s">
        <v>3475</v>
      </c>
      <c r="E544" s="13" t="s">
        <v>3686</v>
      </c>
      <c r="F544" s="13" t="s">
        <v>3687</v>
      </c>
      <c r="G544" s="20" t="str">
        <f>HYPERLINK("https://semena-nn.ru/catalog/14/1305001","Фото")</f>
        <v>Фото</v>
      </c>
      <c r="H544" s="19">
        <v>27.05</v>
      </c>
      <c r="I544" s="27"/>
      <c r="J544" s="13">
        <f>H544*I544</f>
        <v>0</v>
      </c>
    </row>
    <row r="545" spans="1:10" ht="12" customHeight="1">
      <c r="A545" s="13" t="s">
        <v>3167</v>
      </c>
      <c r="B545" s="13" t="s">
        <v>3168</v>
      </c>
      <c r="C545" s="13" t="s">
        <v>284</v>
      </c>
      <c r="D545" s="13" t="s">
        <v>697</v>
      </c>
      <c r="E545" s="13" t="s">
        <v>3064</v>
      </c>
      <c r="F545" s="13" t="s">
        <v>3169</v>
      </c>
      <c r="G545" s="20" t="str">
        <f>HYPERLINK("http://semena-nn.ru/catalog/2/32/big_1298439.jpg","Фото")</f>
        <v>Фото</v>
      </c>
      <c r="H545" s="19">
        <v>12.65</v>
      </c>
      <c r="I545" s="27"/>
      <c r="J545" s="13">
        <f>H545*I545</f>
        <v>0</v>
      </c>
    </row>
    <row r="546" spans="1:10" ht="12" customHeight="1">
      <c r="A546" s="13" t="s">
        <v>1102</v>
      </c>
      <c r="B546" s="13" t="s">
        <v>1103</v>
      </c>
      <c r="C546" s="13" t="s">
        <v>284</v>
      </c>
      <c r="D546" s="13" t="s">
        <v>697</v>
      </c>
      <c r="E546" s="13" t="s">
        <v>1085</v>
      </c>
      <c r="F546" s="13" t="s">
        <v>1104</v>
      </c>
      <c r="G546" s="20" t="str">
        <f>HYPERLINK("http://semena-nn.ru/catalog/32/1307353","Фото")</f>
        <v>Фото</v>
      </c>
      <c r="H546" s="19">
        <v>33.020000000000003</v>
      </c>
      <c r="I546" s="27"/>
      <c r="J546" s="13">
        <f>H546*I546</f>
        <v>0</v>
      </c>
    </row>
    <row r="547" spans="1:10" ht="12" customHeight="1">
      <c r="A547" s="13" t="s">
        <v>6463</v>
      </c>
      <c r="B547" s="13" t="s">
        <v>6464</v>
      </c>
      <c r="C547" s="13" t="s">
        <v>284</v>
      </c>
      <c r="D547" s="13" t="s">
        <v>87</v>
      </c>
      <c r="E547" s="13" t="s">
        <v>93</v>
      </c>
      <c r="F547" s="13" t="s">
        <v>6465</v>
      </c>
      <c r="G547" s="20" t="str">
        <f>HYPERLINK("http://www.semena-nn.ru/catalog/32/105469","Фото")</f>
        <v>Фото</v>
      </c>
      <c r="H547" s="18">
        <v>88.2</v>
      </c>
      <c r="I547" s="27"/>
      <c r="J547" s="13">
        <f>H547*I547</f>
        <v>0</v>
      </c>
    </row>
    <row r="548" spans="1:10" ht="12" customHeight="1">
      <c r="A548" s="13" t="s">
        <v>3688</v>
      </c>
      <c r="B548" s="13" t="s">
        <v>3689</v>
      </c>
      <c r="C548" s="13" t="s">
        <v>284</v>
      </c>
      <c r="D548" s="13" t="s">
        <v>3475</v>
      </c>
      <c r="E548" s="13" t="s">
        <v>93</v>
      </c>
      <c r="F548" s="13" t="s">
        <v>3690</v>
      </c>
      <c r="G548" s="20" t="str">
        <f>HYPERLINK("http://semena-nn.ru/catalog/32/1118566","Фото")</f>
        <v>Фото</v>
      </c>
      <c r="H548" s="18">
        <v>56.2</v>
      </c>
      <c r="I548" s="27"/>
      <c r="J548" s="13">
        <f>H548*I548</f>
        <v>0</v>
      </c>
    </row>
    <row r="549" spans="1:10" ht="12" customHeight="1">
      <c r="A549" s="13" t="s">
        <v>1105</v>
      </c>
      <c r="B549" s="13" t="s">
        <v>1106</v>
      </c>
      <c r="C549" s="13" t="s">
        <v>284</v>
      </c>
      <c r="D549" s="13" t="s">
        <v>697</v>
      </c>
      <c r="E549" s="13" t="s">
        <v>93</v>
      </c>
      <c r="F549" s="13" t="s">
        <v>1107</v>
      </c>
      <c r="G549" s="20" t="str">
        <f>HYPERLINK("http://www.semena-nn.ru/catalog/32/106414","Фото")</f>
        <v>Фото</v>
      </c>
      <c r="H549" s="19">
        <v>46.15</v>
      </c>
      <c r="I549" s="27"/>
      <c r="J549" s="13">
        <f>H549*I549</f>
        <v>0</v>
      </c>
    </row>
    <row r="550" spans="1:10" ht="12" customHeight="1">
      <c r="A550" s="13" t="s">
        <v>3170</v>
      </c>
      <c r="B550" s="13" t="s">
        <v>3171</v>
      </c>
      <c r="C550" s="13" t="s">
        <v>284</v>
      </c>
      <c r="D550" s="13" t="s">
        <v>697</v>
      </c>
      <c r="E550" s="13" t="s">
        <v>3064</v>
      </c>
      <c r="F550" s="13" t="s">
        <v>3172</v>
      </c>
      <c r="G550" s="20" t="str">
        <f>HYPERLINK("https://semena-nn.ru/catalog/32/999000012613","Фото")</f>
        <v>Фото</v>
      </c>
      <c r="H550" s="15">
        <v>32</v>
      </c>
      <c r="I550" s="27"/>
      <c r="J550" s="13">
        <f>H550*I550</f>
        <v>0</v>
      </c>
    </row>
    <row r="551" spans="1:10" ht="12" customHeight="1">
      <c r="A551" s="13" t="s">
        <v>3691</v>
      </c>
      <c r="B551" s="13" t="s">
        <v>3692</v>
      </c>
      <c r="C551" s="13" t="s">
        <v>284</v>
      </c>
      <c r="D551" s="13" t="s">
        <v>3475</v>
      </c>
      <c r="E551" s="13" t="s">
        <v>93</v>
      </c>
      <c r="F551" s="13" t="s">
        <v>3693</v>
      </c>
      <c r="G551" s="20" t="str">
        <f>HYPERLINK("http://www.semena-nn.ru/catalog/32/614","Фото")</f>
        <v>Фото</v>
      </c>
      <c r="H551" s="19">
        <v>51.75</v>
      </c>
      <c r="I551" s="27"/>
      <c r="J551" s="13">
        <f>H551*I551</f>
        <v>0</v>
      </c>
    </row>
    <row r="552" spans="1:10" ht="12" customHeight="1">
      <c r="A552" s="13" t="s">
        <v>1108</v>
      </c>
      <c r="B552" s="13" t="s">
        <v>1109</v>
      </c>
      <c r="C552" s="13" t="s">
        <v>284</v>
      </c>
      <c r="D552" s="13" t="s">
        <v>697</v>
      </c>
      <c r="E552" s="13" t="s">
        <v>1085</v>
      </c>
      <c r="F552" s="13" t="s">
        <v>1110</v>
      </c>
      <c r="G552" s="20" t="str">
        <f>HYPERLINK("http://www.semena-nn.ru/catalog/32/98100","Фото")</f>
        <v>Фото</v>
      </c>
      <c r="H552" s="18">
        <v>26.4</v>
      </c>
      <c r="I552" s="27"/>
      <c r="J552" s="13">
        <f>H552*I552</f>
        <v>0</v>
      </c>
    </row>
    <row r="553" spans="1:10" ht="12" customHeight="1">
      <c r="A553" s="13" t="s">
        <v>2760</v>
      </c>
      <c r="B553" s="13" t="s">
        <v>2761</v>
      </c>
      <c r="C553" s="13" t="s">
        <v>284</v>
      </c>
      <c r="D553" s="13" t="s">
        <v>697</v>
      </c>
      <c r="E553" s="13" t="s">
        <v>2636</v>
      </c>
      <c r="F553" s="13" t="s">
        <v>2762</v>
      </c>
      <c r="G553" s="20" t="str">
        <f>HYPERLINK("http://semena-nn.ru/catalog/32/3090","Фото")</f>
        <v>Фото</v>
      </c>
      <c r="H553" s="18">
        <v>10.5</v>
      </c>
      <c r="I553" s="27"/>
      <c r="J553" s="13">
        <f>H553*I553</f>
        <v>0</v>
      </c>
    </row>
    <row r="554" spans="1:10" ht="12" customHeight="1">
      <c r="A554" s="13" t="s">
        <v>3173</v>
      </c>
      <c r="B554" s="13" t="s">
        <v>3174</v>
      </c>
      <c r="C554" s="13" t="s">
        <v>284</v>
      </c>
      <c r="D554" s="13" t="s">
        <v>697</v>
      </c>
      <c r="E554" s="13" t="s">
        <v>3064</v>
      </c>
      <c r="F554" s="13" t="s">
        <v>3175</v>
      </c>
      <c r="G554" s="20" t="str">
        <f>HYPERLINK("http://semena-nn.ru/catalog/32/1288637","Фото")</f>
        <v>Фото</v>
      </c>
      <c r="H554" s="19">
        <v>12.65</v>
      </c>
      <c r="I554" s="27"/>
      <c r="J554" s="13">
        <f>H554*I554</f>
        <v>0</v>
      </c>
    </row>
    <row r="555" spans="1:10" ht="12" customHeight="1">
      <c r="A555" s="13" t="s">
        <v>1111</v>
      </c>
      <c r="B555" s="13" t="s">
        <v>1112</v>
      </c>
      <c r="C555" s="13" t="s">
        <v>284</v>
      </c>
      <c r="D555" s="13" t="s">
        <v>697</v>
      </c>
      <c r="E555" s="13" t="s">
        <v>1085</v>
      </c>
      <c r="F555" s="13" t="s">
        <v>1113</v>
      </c>
      <c r="G555" s="20" t="str">
        <f>HYPERLINK("http://semena-nn.ru/catalog/14/1309465","Фото")</f>
        <v>Фото</v>
      </c>
      <c r="H555" s="18">
        <v>26.4</v>
      </c>
      <c r="I555" s="27"/>
      <c r="J555" s="13">
        <f>H555*I555</f>
        <v>0</v>
      </c>
    </row>
    <row r="556" spans="1:10" ht="12" customHeight="1">
      <c r="A556" s="13" t="s">
        <v>2763</v>
      </c>
      <c r="B556" s="13" t="s">
        <v>2764</v>
      </c>
      <c r="C556" s="13" t="s">
        <v>284</v>
      </c>
      <c r="D556" s="13" t="s">
        <v>697</v>
      </c>
      <c r="E556" s="13" t="s">
        <v>2636</v>
      </c>
      <c r="F556" s="13" t="s">
        <v>2765</v>
      </c>
      <c r="G556" s="20" t="str">
        <f>HYPERLINK("http://semena-nn.ru/catalog/32/1308034","Фото")</f>
        <v>Фото</v>
      </c>
      <c r="H556" s="19">
        <v>7.99</v>
      </c>
      <c r="I556" s="27"/>
      <c r="J556" s="13">
        <f>H556*I556</f>
        <v>0</v>
      </c>
    </row>
    <row r="557" spans="1:10" ht="12" customHeight="1">
      <c r="A557" s="13" t="s">
        <v>3176</v>
      </c>
      <c r="B557" s="13" t="s">
        <v>3177</v>
      </c>
      <c r="C557" s="13" t="s">
        <v>284</v>
      </c>
      <c r="D557" s="13" t="s">
        <v>697</v>
      </c>
      <c r="E557" s="13" t="s">
        <v>3064</v>
      </c>
      <c r="F557" s="13" t="s">
        <v>3178</v>
      </c>
      <c r="G557" s="20" t="str">
        <f>HYPERLINK("https://semena-nn.ru/catalog/32/1298440","Фото")</f>
        <v>Фото</v>
      </c>
      <c r="H557" s="18">
        <v>14.5</v>
      </c>
      <c r="I557" s="27"/>
      <c r="J557" s="13">
        <f>H557*I557</f>
        <v>0</v>
      </c>
    </row>
    <row r="558" spans="1:10" ht="12" customHeight="1">
      <c r="A558" s="13" t="s">
        <v>1114</v>
      </c>
      <c r="B558" s="13" t="s">
        <v>1115</v>
      </c>
      <c r="C558" s="13" t="s">
        <v>284</v>
      </c>
      <c r="D558" s="13" t="s">
        <v>697</v>
      </c>
      <c r="E558" s="13" t="s">
        <v>1085</v>
      </c>
      <c r="F558" s="13" t="s">
        <v>1116</v>
      </c>
      <c r="G558" s="20" t="str">
        <f>HYPERLINK("http://semena-nn.ru/catalog/32/1120661","Фото")</f>
        <v>Фото</v>
      </c>
      <c r="H558" s="18">
        <v>26.4</v>
      </c>
      <c r="I558" s="27"/>
      <c r="J558" s="13">
        <f>H558*I558</f>
        <v>0</v>
      </c>
    </row>
    <row r="559" spans="1:10" ht="12" customHeight="1">
      <c r="A559" s="13" t="s">
        <v>2766</v>
      </c>
      <c r="B559" s="13" t="s">
        <v>2767</v>
      </c>
      <c r="C559" s="13" t="s">
        <v>284</v>
      </c>
      <c r="D559" s="13" t="s">
        <v>697</v>
      </c>
      <c r="E559" s="13" t="s">
        <v>2636</v>
      </c>
      <c r="F559" s="17" t="s">
        <v>2768</v>
      </c>
      <c r="G559" s="20" t="str">
        <f>HYPERLINK("http://semena-nn.ru/catalog/32/1282876","Фото")</f>
        <v>Фото</v>
      </c>
      <c r="H559" s="18">
        <v>10.5</v>
      </c>
      <c r="I559" s="27"/>
      <c r="J559" s="13">
        <f>H559*I559</f>
        <v>0</v>
      </c>
    </row>
    <row r="560" spans="1:10" ht="12" customHeight="1">
      <c r="A560" s="13" t="s">
        <v>3179</v>
      </c>
      <c r="B560" s="13" t="s">
        <v>3180</v>
      </c>
      <c r="C560" s="13" t="s">
        <v>284</v>
      </c>
      <c r="D560" s="13" t="s">
        <v>697</v>
      </c>
      <c r="E560" s="13" t="s">
        <v>3064</v>
      </c>
      <c r="F560" s="13" t="s">
        <v>3181</v>
      </c>
      <c r="G560" s="20" t="str">
        <f>HYPERLINK("http://semena-nn.ru/catalog/32/1288638","Фото")</f>
        <v>Фото</v>
      </c>
      <c r="H560" s="19">
        <v>12.65</v>
      </c>
      <c r="I560" s="27"/>
      <c r="J560" s="13">
        <f>H560*I560</f>
        <v>0</v>
      </c>
    </row>
    <row r="561" spans="1:10" ht="12" customHeight="1">
      <c r="A561" s="13" t="s">
        <v>1117</v>
      </c>
      <c r="B561" s="13" t="s">
        <v>1118</v>
      </c>
      <c r="C561" s="13" t="s">
        <v>284</v>
      </c>
      <c r="D561" s="13" t="s">
        <v>697</v>
      </c>
      <c r="E561" s="13" t="s">
        <v>1085</v>
      </c>
      <c r="F561" s="13" t="s">
        <v>1119</v>
      </c>
      <c r="G561" s="20" t="str">
        <f>HYPERLINK("http://www.semena-nn.ru/catalog/32/100445","Фото")</f>
        <v>Фото</v>
      </c>
      <c r="H561" s="18">
        <v>26.4</v>
      </c>
      <c r="I561" s="27"/>
      <c r="J561" s="13">
        <f>H561*I561</f>
        <v>0</v>
      </c>
    </row>
    <row r="562" spans="1:10" ht="12" customHeight="1">
      <c r="A562" s="13" t="s">
        <v>3694</v>
      </c>
      <c r="B562" s="13" t="s">
        <v>3695</v>
      </c>
      <c r="C562" s="13" t="s">
        <v>284</v>
      </c>
      <c r="D562" s="13" t="s">
        <v>3475</v>
      </c>
      <c r="E562" s="13" t="s">
        <v>93</v>
      </c>
      <c r="F562" s="13" t="s">
        <v>3696</v>
      </c>
      <c r="G562" s="20" t="str">
        <f>HYPERLINK("https://semena-nn.ru/catalog/14/999000008390","Фото")</f>
        <v>Фото</v>
      </c>
      <c r="H562" s="19">
        <v>27.05</v>
      </c>
      <c r="I562" s="27"/>
      <c r="J562" s="13">
        <f>H562*I562</f>
        <v>0</v>
      </c>
    </row>
    <row r="563" spans="1:10" ht="12" customHeight="1">
      <c r="A563" s="13" t="s">
        <v>2769</v>
      </c>
      <c r="B563" s="13" t="s">
        <v>2770</v>
      </c>
      <c r="C563" s="13" t="s">
        <v>284</v>
      </c>
      <c r="D563" s="13" t="s">
        <v>697</v>
      </c>
      <c r="E563" s="13" t="s">
        <v>2636</v>
      </c>
      <c r="F563" s="13" t="s">
        <v>2771</v>
      </c>
      <c r="G563" s="20" t="str">
        <f>HYPERLINK("http://semena-nn.ru/catalog/32/3091","Фото")</f>
        <v>Фото</v>
      </c>
      <c r="H563" s="18">
        <v>10.5</v>
      </c>
      <c r="I563" s="27"/>
      <c r="J563" s="13">
        <f>H563*I563</f>
        <v>0</v>
      </c>
    </row>
    <row r="564" spans="1:10" ht="12" customHeight="1">
      <c r="A564" s="13" t="s">
        <v>3697</v>
      </c>
      <c r="B564" s="13" t="s">
        <v>3698</v>
      </c>
      <c r="C564" s="13" t="s">
        <v>284</v>
      </c>
      <c r="D564" s="13" t="s">
        <v>3475</v>
      </c>
      <c r="E564" s="13" t="s">
        <v>93</v>
      </c>
      <c r="F564" s="13" t="s">
        <v>3699</v>
      </c>
      <c r="G564" s="20" t="str">
        <f>HYPERLINK("http://semena-nn.ru/catalog/32/1312792","Фото")</f>
        <v>Фото</v>
      </c>
      <c r="H564" s="18">
        <v>45.9</v>
      </c>
      <c r="I564" s="27"/>
      <c r="J564" s="13">
        <f>H564*I564</f>
        <v>0</v>
      </c>
    </row>
    <row r="565" spans="1:10" ht="12" customHeight="1">
      <c r="A565" s="13" t="s">
        <v>1120</v>
      </c>
      <c r="B565" s="13" t="s">
        <v>1121</v>
      </c>
      <c r="C565" s="13" t="s">
        <v>284</v>
      </c>
      <c r="D565" s="13" t="s">
        <v>697</v>
      </c>
      <c r="E565" s="13" t="s">
        <v>1085</v>
      </c>
      <c r="F565" s="13" t="s">
        <v>1122</v>
      </c>
      <c r="G565" s="20" t="str">
        <f>HYPERLINK("http://semena-nn.ru/catalog/32/1125950","Фото")</f>
        <v>Фото</v>
      </c>
      <c r="H565" s="18">
        <v>26.4</v>
      </c>
      <c r="I565" s="27"/>
      <c r="J565" s="13">
        <f>H565*I565</f>
        <v>0</v>
      </c>
    </row>
    <row r="566" spans="1:10" ht="12" customHeight="1">
      <c r="A566" s="13" t="s">
        <v>3182</v>
      </c>
      <c r="B566" s="13" t="s">
        <v>3183</v>
      </c>
      <c r="C566" s="13" t="s">
        <v>284</v>
      </c>
      <c r="D566" s="13" t="s">
        <v>697</v>
      </c>
      <c r="E566" s="13" t="s">
        <v>3064</v>
      </c>
      <c r="F566" s="13" t="s">
        <v>3184</v>
      </c>
      <c r="G566" s="20" t="str">
        <f>HYPERLINK("https://semena-nn.ru/catalog/32/999000011808","Фото")</f>
        <v>Фото</v>
      </c>
      <c r="H566" s="19">
        <v>13.75</v>
      </c>
      <c r="I566" s="27"/>
      <c r="J566" s="13">
        <f>H566*I566</f>
        <v>0</v>
      </c>
    </row>
    <row r="567" spans="1:10" ht="12" customHeight="1">
      <c r="A567" s="13" t="s">
        <v>1123</v>
      </c>
      <c r="B567" s="13" t="s">
        <v>1124</v>
      </c>
      <c r="C567" s="13" t="s">
        <v>284</v>
      </c>
      <c r="D567" s="13" t="s">
        <v>697</v>
      </c>
      <c r="E567" s="13" t="s">
        <v>93</v>
      </c>
      <c r="F567" s="13" t="s">
        <v>1125</v>
      </c>
      <c r="G567" s="20" t="str">
        <f>HYPERLINK("http://semena-nn.ru/catalog/32/1314291","Фото")</f>
        <v>Фото</v>
      </c>
      <c r="H567" s="18">
        <v>26.4</v>
      </c>
      <c r="I567" s="27"/>
      <c r="J567" s="13">
        <f>H567*I567</f>
        <v>0</v>
      </c>
    </row>
    <row r="568" spans="1:10" ht="12" customHeight="1">
      <c r="A568" s="13" t="s">
        <v>1126</v>
      </c>
      <c r="B568" s="13" t="s">
        <v>1127</v>
      </c>
      <c r="C568" s="13" t="s">
        <v>284</v>
      </c>
      <c r="D568" s="13" t="s">
        <v>697</v>
      </c>
      <c r="E568" s="13" t="s">
        <v>1085</v>
      </c>
      <c r="F568" s="13" t="s">
        <v>1128</v>
      </c>
      <c r="G568" s="20" t="str">
        <f>HYPERLINK("http://semena-nn.ru/catalog/32/1125951","Фото")</f>
        <v>Фото</v>
      </c>
      <c r="H568" s="18">
        <v>26.4</v>
      </c>
      <c r="I568" s="27"/>
      <c r="J568" s="13">
        <f>H568*I568</f>
        <v>0</v>
      </c>
    </row>
    <row r="569" spans="1:10" ht="12" customHeight="1">
      <c r="A569" s="13" t="s">
        <v>3185</v>
      </c>
      <c r="B569" s="13" t="s">
        <v>3186</v>
      </c>
      <c r="C569" s="13" t="s">
        <v>284</v>
      </c>
      <c r="D569" s="13" t="s">
        <v>697</v>
      </c>
      <c r="E569" s="13" t="s">
        <v>3064</v>
      </c>
      <c r="F569" s="13" t="s">
        <v>3187</v>
      </c>
      <c r="G569" s="20" t="str">
        <f>HYPERLINK("http://semena-nn.ru/catalog/2/32/big_1287469.jpg","Фото")</f>
        <v>Фото</v>
      </c>
      <c r="H569" s="19">
        <v>12.65</v>
      </c>
      <c r="I569" s="27"/>
      <c r="J569" s="13">
        <f>H569*I569</f>
        <v>0</v>
      </c>
    </row>
    <row r="570" spans="1:10" ht="12" customHeight="1">
      <c r="A570" s="13" t="s">
        <v>2772</v>
      </c>
      <c r="B570" s="13" t="s">
        <v>2773</v>
      </c>
      <c r="C570" s="13" t="s">
        <v>284</v>
      </c>
      <c r="D570" s="13" t="s">
        <v>697</v>
      </c>
      <c r="E570" s="13" t="s">
        <v>2636</v>
      </c>
      <c r="F570" s="13" t="s">
        <v>2774</v>
      </c>
      <c r="G570" s="20" t="str">
        <f>HYPERLINK("http://semena-nn.ru/catalog/32/3028","Фото")</f>
        <v>Фото</v>
      </c>
      <c r="H570" s="19">
        <v>9.9499999999999993</v>
      </c>
      <c r="I570" s="27"/>
      <c r="J570" s="13">
        <f>H570*I570</f>
        <v>0</v>
      </c>
    </row>
    <row r="571" spans="1:10" ht="12" customHeight="1">
      <c r="A571" s="13" t="s">
        <v>3188</v>
      </c>
      <c r="B571" s="13" t="s">
        <v>3189</v>
      </c>
      <c r="C571" s="13" t="s">
        <v>284</v>
      </c>
      <c r="D571" s="13" t="s">
        <v>697</v>
      </c>
      <c r="E571" s="13" t="s">
        <v>3064</v>
      </c>
      <c r="F571" s="13" t="s">
        <v>3190</v>
      </c>
      <c r="G571" s="20" t="str">
        <f>HYPERLINK("http://semena-nn.ru/catalog/2/32/big_1288640.jpg","Фото")</f>
        <v>Фото</v>
      </c>
      <c r="H571" s="19">
        <v>12.65</v>
      </c>
      <c r="I571" s="27"/>
      <c r="J571" s="13">
        <f>H571*I571</f>
        <v>0</v>
      </c>
    </row>
    <row r="572" spans="1:10" ht="12" customHeight="1">
      <c r="A572" s="13" t="s">
        <v>8800</v>
      </c>
      <c r="B572" s="13" t="s">
        <v>8801</v>
      </c>
      <c r="C572" s="13" t="s">
        <v>284</v>
      </c>
      <c r="D572" s="13" t="s">
        <v>8717</v>
      </c>
      <c r="E572" s="13" t="s">
        <v>3686</v>
      </c>
      <c r="F572" s="13" t="s">
        <v>8802</v>
      </c>
      <c r="G572" s="20" t="str">
        <f>HYPERLINK("http://semena-nn.ru/catalog/14/1314134","Фото")</f>
        <v>Фото</v>
      </c>
      <c r="H572" s="19">
        <v>62.95</v>
      </c>
      <c r="I572" s="27"/>
      <c r="J572" s="13">
        <f>H572*I572</f>
        <v>0</v>
      </c>
    </row>
    <row r="573" spans="1:10" ht="12" customHeight="1">
      <c r="A573" s="13" t="s">
        <v>7237</v>
      </c>
      <c r="B573" s="13" t="s">
        <v>7238</v>
      </c>
      <c r="C573" s="13" t="s">
        <v>284</v>
      </c>
      <c r="D573" s="13" t="s">
        <v>7148</v>
      </c>
      <c r="E573" s="13" t="s">
        <v>93</v>
      </c>
      <c r="F573" s="13" t="s">
        <v>7239</v>
      </c>
      <c r="G573" s="20" t="str">
        <f>HYPERLINK("https://semena-nn.ru/catalog/32/1313032","Фото")</f>
        <v>Фото</v>
      </c>
      <c r="H573" s="19">
        <v>115.95</v>
      </c>
      <c r="I573" s="27"/>
      <c r="J573" s="13">
        <f>H573*I573</f>
        <v>0</v>
      </c>
    </row>
    <row r="574" spans="1:10" ht="12" customHeight="1">
      <c r="A574" s="13" t="s">
        <v>1129</v>
      </c>
      <c r="B574" s="13" t="s">
        <v>1130</v>
      </c>
      <c r="C574" s="13" t="s">
        <v>284</v>
      </c>
      <c r="D574" s="13" t="s">
        <v>697</v>
      </c>
      <c r="E574" s="13" t="s">
        <v>1085</v>
      </c>
      <c r="F574" s="13" t="s">
        <v>1131</v>
      </c>
      <c r="G574" s="20" t="str">
        <f>HYPERLINK("http://www.semena-nn.ru/catalog/32/97500","Фото")</f>
        <v>Фото</v>
      </c>
      <c r="H574" s="18">
        <v>26.4</v>
      </c>
      <c r="I574" s="27"/>
      <c r="J574" s="13">
        <f>H574*I574</f>
        <v>0</v>
      </c>
    </row>
    <row r="575" spans="1:10" ht="12" customHeight="1">
      <c r="A575" s="13" t="s">
        <v>2775</v>
      </c>
      <c r="B575" s="13" t="s">
        <v>2776</v>
      </c>
      <c r="C575" s="13" t="s">
        <v>284</v>
      </c>
      <c r="D575" s="13" t="s">
        <v>697</v>
      </c>
      <c r="E575" s="13" t="s">
        <v>2636</v>
      </c>
      <c r="F575" s="13" t="s">
        <v>2777</v>
      </c>
      <c r="G575" s="20" t="str">
        <f>HYPERLINK("http://semena-nn.ru/catalog/32/3093","Фото")</f>
        <v>Фото</v>
      </c>
      <c r="H575" s="18">
        <v>10.5</v>
      </c>
      <c r="I575" s="27"/>
      <c r="J575" s="13">
        <f>H575*I575</f>
        <v>0</v>
      </c>
    </row>
    <row r="576" spans="1:10" ht="12" customHeight="1">
      <c r="A576" s="13" t="s">
        <v>2778</v>
      </c>
      <c r="B576" s="13" t="s">
        <v>2779</v>
      </c>
      <c r="C576" s="13" t="s">
        <v>284</v>
      </c>
      <c r="D576" s="13" t="s">
        <v>697</v>
      </c>
      <c r="E576" s="13" t="s">
        <v>2636</v>
      </c>
      <c r="F576" s="13" t="s">
        <v>2780</v>
      </c>
      <c r="G576" s="20" t="str">
        <f>HYPERLINK("http://semena-nn.ru/catalog/32/1125315","Фото")</f>
        <v>Фото</v>
      </c>
      <c r="H576" s="18">
        <v>10.5</v>
      </c>
      <c r="I576" s="27"/>
      <c r="J576" s="13">
        <f>H576*I576</f>
        <v>0</v>
      </c>
    </row>
    <row r="577" spans="1:10" ht="12" customHeight="1">
      <c r="A577" s="13" t="s">
        <v>6466</v>
      </c>
      <c r="B577" s="13" t="s">
        <v>6467</v>
      </c>
      <c r="C577" s="13" t="s">
        <v>284</v>
      </c>
      <c r="D577" s="13" t="s">
        <v>87</v>
      </c>
      <c r="E577" s="13" t="s">
        <v>93</v>
      </c>
      <c r="F577" s="13" t="s">
        <v>6468</v>
      </c>
      <c r="G577" s="20" t="str">
        <f>HYPERLINK("http://www.semena-nn.ru/catalog/32/96775","Фото")</f>
        <v>Фото</v>
      </c>
      <c r="H577" s="18">
        <v>94.5</v>
      </c>
      <c r="I577" s="27"/>
      <c r="J577" s="13">
        <f>H577*I577</f>
        <v>0</v>
      </c>
    </row>
    <row r="578" spans="1:10" ht="12" customHeight="1">
      <c r="A578" s="13" t="s">
        <v>6469</v>
      </c>
      <c r="B578" s="13" t="s">
        <v>6470</v>
      </c>
      <c r="C578" s="13" t="s">
        <v>284</v>
      </c>
      <c r="D578" s="13" t="s">
        <v>87</v>
      </c>
      <c r="E578" s="13" t="s">
        <v>93</v>
      </c>
      <c r="F578" s="13" t="s">
        <v>6471</v>
      </c>
      <c r="G578" s="20" t="str">
        <f>HYPERLINK("http://www.semena-nn.ru/catalog/32/1121760","Фото")</f>
        <v>Фото</v>
      </c>
      <c r="H578" s="18">
        <v>94.5</v>
      </c>
      <c r="I578" s="27"/>
      <c r="J578" s="13">
        <f>H578*I578</f>
        <v>0</v>
      </c>
    </row>
    <row r="579" spans="1:10" ht="12" customHeight="1">
      <c r="A579" s="13" t="s">
        <v>3700</v>
      </c>
      <c r="B579" s="13" t="s">
        <v>3701</v>
      </c>
      <c r="C579" s="13" t="s">
        <v>284</v>
      </c>
      <c r="D579" s="13" t="s">
        <v>3475</v>
      </c>
      <c r="E579" s="13" t="s">
        <v>93</v>
      </c>
      <c r="F579" s="13" t="s">
        <v>3702</v>
      </c>
      <c r="G579" s="20" t="str">
        <f>HYPERLINK("http://semena-nn.ru/catalog/32/1123911","Фото")</f>
        <v>Фото</v>
      </c>
      <c r="H579" s="18">
        <v>61.7</v>
      </c>
      <c r="I579" s="27"/>
      <c r="J579" s="13">
        <f>H579*I579</f>
        <v>0</v>
      </c>
    </row>
    <row r="580" spans="1:10" ht="12" customHeight="1">
      <c r="A580" s="13" t="s">
        <v>3703</v>
      </c>
      <c r="B580" s="13" t="s">
        <v>3704</v>
      </c>
      <c r="C580" s="13" t="s">
        <v>284</v>
      </c>
      <c r="D580" s="13" t="s">
        <v>3475</v>
      </c>
      <c r="E580" s="13" t="s">
        <v>93</v>
      </c>
      <c r="F580" s="17" t="s">
        <v>3705</v>
      </c>
      <c r="G580" s="20" t="str">
        <f>HYPERLINK("http://semena-nn.ru/catalog/2/32/big_1307095.jpg","Фото")</f>
        <v>Фото</v>
      </c>
      <c r="H580" s="18">
        <v>59.5</v>
      </c>
      <c r="I580" s="27"/>
      <c r="J580" s="13">
        <f>H580*I580</f>
        <v>0</v>
      </c>
    </row>
    <row r="581" spans="1:10" ht="12" customHeight="1">
      <c r="A581" s="13" t="s">
        <v>1132</v>
      </c>
      <c r="B581" s="13" t="s">
        <v>1133</v>
      </c>
      <c r="C581" s="13" t="s">
        <v>284</v>
      </c>
      <c r="D581" s="13" t="s">
        <v>697</v>
      </c>
      <c r="E581" s="13" t="s">
        <v>1085</v>
      </c>
      <c r="F581" s="13" t="s">
        <v>1134</v>
      </c>
      <c r="G581" s="20" t="str">
        <f>HYPERLINK("http://semena-nn.ru/catalog/32/1308046","Фото")</f>
        <v>Фото</v>
      </c>
      <c r="H581" s="18">
        <v>26.4</v>
      </c>
      <c r="I581" s="27"/>
      <c r="J581" s="13">
        <f>H581*I581</f>
        <v>0</v>
      </c>
    </row>
    <row r="582" spans="1:10" ht="12" customHeight="1">
      <c r="A582" s="13" t="s">
        <v>1135</v>
      </c>
      <c r="B582" s="13" t="s">
        <v>1136</v>
      </c>
      <c r="C582" s="13" t="s">
        <v>284</v>
      </c>
      <c r="D582" s="13" t="s">
        <v>697</v>
      </c>
      <c r="E582" s="13" t="s">
        <v>93</v>
      </c>
      <c r="F582" s="13" t="s">
        <v>1137</v>
      </c>
      <c r="G582" s="20" t="str">
        <f>HYPERLINK("http://semena-nn.ru/catalog/32/1308620","Фото")</f>
        <v>Фото</v>
      </c>
      <c r="H582" s="18">
        <v>26.4</v>
      </c>
      <c r="I582" s="27"/>
      <c r="J582" s="13">
        <f>H582*I582</f>
        <v>0</v>
      </c>
    </row>
    <row r="583" spans="1:10" ht="12" customHeight="1">
      <c r="A583" s="13" t="s">
        <v>3191</v>
      </c>
      <c r="B583" s="13" t="s">
        <v>3192</v>
      </c>
      <c r="C583" s="13" t="s">
        <v>284</v>
      </c>
      <c r="D583" s="13" t="s">
        <v>697</v>
      </c>
      <c r="E583" s="13" t="s">
        <v>3064</v>
      </c>
      <c r="F583" s="13" t="s">
        <v>3193</v>
      </c>
      <c r="G583" s="20" t="str">
        <f>HYPERLINK("http://semena-nn.ru/catalog/2/32/big_1288641.jpg","Фото")</f>
        <v>Фото</v>
      </c>
      <c r="H583" s="19">
        <v>12.65</v>
      </c>
      <c r="I583" s="27"/>
      <c r="J583" s="13">
        <f>H583*I583</f>
        <v>0</v>
      </c>
    </row>
    <row r="584" spans="1:10" ht="12" customHeight="1">
      <c r="A584" s="13" t="s">
        <v>3706</v>
      </c>
      <c r="B584" s="13" t="s">
        <v>3707</v>
      </c>
      <c r="C584" s="13" t="s">
        <v>284</v>
      </c>
      <c r="D584" s="13" t="s">
        <v>3475</v>
      </c>
      <c r="E584" s="13" t="s">
        <v>93</v>
      </c>
      <c r="F584" s="13" t="s">
        <v>3708</v>
      </c>
      <c r="G584" s="20" t="str">
        <f>HYPERLINK("https://semena-nn.ru/catalog/32/999000012783","Фото")</f>
        <v>Фото</v>
      </c>
      <c r="H584" s="19">
        <v>27.25</v>
      </c>
      <c r="I584" s="27"/>
      <c r="J584" s="13">
        <f>H584*I584</f>
        <v>0</v>
      </c>
    </row>
    <row r="585" spans="1:10" ht="12" customHeight="1">
      <c r="A585" s="13" t="s">
        <v>1138</v>
      </c>
      <c r="B585" s="13" t="s">
        <v>1139</v>
      </c>
      <c r="C585" s="13" t="s">
        <v>284</v>
      </c>
      <c r="D585" s="13" t="s">
        <v>697</v>
      </c>
      <c r="E585" s="13" t="s">
        <v>1085</v>
      </c>
      <c r="F585" s="13" t="s">
        <v>1140</v>
      </c>
      <c r="G585" s="20" t="str">
        <f>HYPERLINK("http://semena-nn.ru/catalog/32/1117903","Фото")</f>
        <v>Фото</v>
      </c>
      <c r="H585" s="18">
        <v>26.4</v>
      </c>
      <c r="I585" s="27"/>
      <c r="J585" s="13">
        <f>H585*I585</f>
        <v>0</v>
      </c>
    </row>
    <row r="586" spans="1:10" ht="12" customHeight="1">
      <c r="A586" s="13" t="s">
        <v>2781</v>
      </c>
      <c r="B586" s="13" t="s">
        <v>2782</v>
      </c>
      <c r="C586" s="13" t="s">
        <v>284</v>
      </c>
      <c r="D586" s="13" t="s">
        <v>697</v>
      </c>
      <c r="E586" s="13" t="s">
        <v>2636</v>
      </c>
      <c r="F586" s="17" t="s">
        <v>2783</v>
      </c>
      <c r="G586" s="20" t="str">
        <f>HYPERLINK("http://semena-nn.ru/catalog/32/112977","Фото")</f>
        <v>Фото</v>
      </c>
      <c r="H586" s="18">
        <v>10.5</v>
      </c>
      <c r="I586" s="27"/>
      <c r="J586" s="13">
        <f>H586*I586</f>
        <v>0</v>
      </c>
    </row>
    <row r="587" spans="1:10" ht="12" customHeight="1">
      <c r="A587" s="13" t="s">
        <v>3194</v>
      </c>
      <c r="B587" s="13" t="s">
        <v>3195</v>
      </c>
      <c r="C587" s="13" t="s">
        <v>284</v>
      </c>
      <c r="D587" s="13" t="s">
        <v>697</v>
      </c>
      <c r="E587" s="13" t="s">
        <v>3064</v>
      </c>
      <c r="F587" s="13" t="s">
        <v>3196</v>
      </c>
      <c r="G587" s="20" t="str">
        <f>HYPERLINK("https://semena-nn.ru/catalog/32/1314659","Фото")</f>
        <v>Фото</v>
      </c>
      <c r="H587" s="19">
        <v>12.65</v>
      </c>
      <c r="I587" s="27"/>
      <c r="J587" s="13">
        <f>H587*I587</f>
        <v>0</v>
      </c>
    </row>
    <row r="588" spans="1:10" ht="12" customHeight="1">
      <c r="A588" s="13" t="s">
        <v>1141</v>
      </c>
      <c r="B588" s="13" t="s">
        <v>1142</v>
      </c>
      <c r="C588" s="13" t="s">
        <v>284</v>
      </c>
      <c r="D588" s="13" t="s">
        <v>697</v>
      </c>
      <c r="E588" s="13" t="s">
        <v>1085</v>
      </c>
      <c r="F588" s="13" t="s">
        <v>1143</v>
      </c>
      <c r="G588" s="20" t="str">
        <f>HYPERLINK("http://semena-nn.ru/catalog/32/1308047","Фото")</f>
        <v>Фото</v>
      </c>
      <c r="H588" s="18">
        <v>26.4</v>
      </c>
      <c r="I588" s="27"/>
      <c r="J588" s="13">
        <f>H588*I588</f>
        <v>0</v>
      </c>
    </row>
    <row r="589" spans="1:10" ht="12" customHeight="1">
      <c r="A589" s="13" t="s">
        <v>3197</v>
      </c>
      <c r="B589" s="13" t="s">
        <v>3198</v>
      </c>
      <c r="C589" s="13" t="s">
        <v>284</v>
      </c>
      <c r="D589" s="13" t="s">
        <v>697</v>
      </c>
      <c r="E589" s="13" t="s">
        <v>3064</v>
      </c>
      <c r="F589" s="13" t="s">
        <v>3199</v>
      </c>
      <c r="G589" s="20" t="str">
        <f>HYPERLINK("https://semena-nn.ru/catalog/32/1288110","Фото")</f>
        <v>Фото</v>
      </c>
      <c r="H589" s="18">
        <v>12.7</v>
      </c>
      <c r="I589" s="27"/>
      <c r="J589" s="13">
        <f>H589*I589</f>
        <v>0</v>
      </c>
    </row>
    <row r="590" spans="1:10" ht="12" customHeight="1">
      <c r="A590" s="13" t="s">
        <v>1144</v>
      </c>
      <c r="B590" s="13" t="s">
        <v>1145</v>
      </c>
      <c r="C590" s="13" t="s">
        <v>284</v>
      </c>
      <c r="D590" s="13" t="s">
        <v>697</v>
      </c>
      <c r="E590" s="13" t="s">
        <v>93</v>
      </c>
      <c r="F590" s="13" t="s">
        <v>1146</v>
      </c>
      <c r="G590" s="20" t="str">
        <f>HYPERLINK("http://semena-nn.ru/catalog/32/1308621","Фото")</f>
        <v>Фото</v>
      </c>
      <c r="H590" s="18">
        <v>26.4</v>
      </c>
      <c r="I590" s="27"/>
      <c r="J590" s="13">
        <f>H590*I590</f>
        <v>0</v>
      </c>
    </row>
    <row r="591" spans="1:10" ht="12" customHeight="1">
      <c r="A591" s="13" t="s">
        <v>2784</v>
      </c>
      <c r="B591" s="13" t="s">
        <v>2785</v>
      </c>
      <c r="C591" s="13" t="s">
        <v>284</v>
      </c>
      <c r="D591" s="13" t="s">
        <v>697</v>
      </c>
      <c r="E591" s="13" t="s">
        <v>2636</v>
      </c>
      <c r="F591" s="13" t="s">
        <v>2786</v>
      </c>
      <c r="G591" s="20" t="str">
        <f>HYPERLINK("http://semena-nn.ru/catalog/32/1308604","Фото")</f>
        <v>Фото</v>
      </c>
      <c r="H591" s="19">
        <v>9.15</v>
      </c>
      <c r="I591" s="27"/>
      <c r="J591" s="13">
        <f>H591*I591</f>
        <v>0</v>
      </c>
    </row>
    <row r="592" spans="1:10" ht="12" customHeight="1">
      <c r="A592" s="13" t="s">
        <v>6472</v>
      </c>
      <c r="B592" s="13" t="s">
        <v>6473</v>
      </c>
      <c r="C592" s="13" t="s">
        <v>284</v>
      </c>
      <c r="D592" s="13" t="s">
        <v>87</v>
      </c>
      <c r="E592" s="13" t="s">
        <v>3686</v>
      </c>
      <c r="F592" s="13" t="s">
        <v>6474</v>
      </c>
      <c r="G592" s="20" t="str">
        <f>HYPERLINK("http://semena-nn.ru/catalog/2/32/big_102640.jpg","Фото")</f>
        <v>Фото</v>
      </c>
      <c r="H592" s="18">
        <v>18.399999999999999</v>
      </c>
      <c r="I592" s="27"/>
      <c r="J592" s="13">
        <f>H592*I592</f>
        <v>0</v>
      </c>
    </row>
    <row r="593" spans="1:10" ht="12" customHeight="1">
      <c r="A593" s="13" t="s">
        <v>6475</v>
      </c>
      <c r="B593" s="13" t="s">
        <v>6476</v>
      </c>
      <c r="C593" s="13" t="s">
        <v>284</v>
      </c>
      <c r="D593" s="13" t="s">
        <v>87</v>
      </c>
      <c r="E593" s="13" t="s">
        <v>1085</v>
      </c>
      <c r="F593" s="13" t="s">
        <v>6477</v>
      </c>
      <c r="G593" s="20" t="str">
        <f>HYPERLINK("http://semena-nn.ru/catalog/32/96691","Фото")</f>
        <v>Фото</v>
      </c>
      <c r="H593" s="18">
        <v>22.9</v>
      </c>
      <c r="I593" s="27"/>
      <c r="J593" s="13">
        <f>H593*I593</f>
        <v>0</v>
      </c>
    </row>
    <row r="594" spans="1:10" ht="12" customHeight="1">
      <c r="A594" s="13" t="s">
        <v>6902</v>
      </c>
      <c r="B594" s="13" t="s">
        <v>6903</v>
      </c>
      <c r="C594" s="13" t="s">
        <v>284</v>
      </c>
      <c r="D594" s="13" t="s">
        <v>87</v>
      </c>
      <c r="E594" s="13" t="s">
        <v>2636</v>
      </c>
      <c r="F594" s="13" t="s">
        <v>6904</v>
      </c>
      <c r="G594" s="20" t="str">
        <f>HYPERLINK("http://www.semena-nn.ru/catalog/32/106509","Фото")</f>
        <v>Фото</v>
      </c>
      <c r="H594" s="18">
        <v>16.7</v>
      </c>
      <c r="I594" s="27"/>
      <c r="J594" s="13">
        <f>H594*I594</f>
        <v>0</v>
      </c>
    </row>
    <row r="595" spans="1:10" ht="12" customHeight="1">
      <c r="A595" s="13" t="s">
        <v>6478</v>
      </c>
      <c r="B595" s="13" t="s">
        <v>6479</v>
      </c>
      <c r="C595" s="13" t="s">
        <v>284</v>
      </c>
      <c r="D595" s="13" t="s">
        <v>87</v>
      </c>
      <c r="E595" s="13" t="s">
        <v>93</v>
      </c>
      <c r="F595" s="13" t="s">
        <v>6477</v>
      </c>
      <c r="G595" s="20" t="str">
        <f>HYPERLINK("http://www.semena-nn.ru/catalog/32/96776","Фото")</f>
        <v>Фото</v>
      </c>
      <c r="H595" s="18">
        <v>56.7</v>
      </c>
      <c r="I595" s="27"/>
      <c r="J595" s="13">
        <f>H595*I595</f>
        <v>0</v>
      </c>
    </row>
    <row r="596" spans="1:10" ht="12" customHeight="1">
      <c r="A596" s="13" t="s">
        <v>2787</v>
      </c>
      <c r="B596" s="13" t="s">
        <v>2788</v>
      </c>
      <c r="C596" s="13" t="s">
        <v>284</v>
      </c>
      <c r="D596" s="13" t="s">
        <v>697</v>
      </c>
      <c r="E596" s="13" t="s">
        <v>2636</v>
      </c>
      <c r="F596" s="13" t="s">
        <v>2789</v>
      </c>
      <c r="G596" s="20" t="str">
        <f>HYPERLINK("http://semena-nn.ru/catalog/32/3143","Фото")</f>
        <v>Фото</v>
      </c>
      <c r="H596" s="19">
        <v>9.9499999999999993</v>
      </c>
      <c r="I596" s="27"/>
      <c r="J596" s="13">
        <f>H596*I596</f>
        <v>0</v>
      </c>
    </row>
    <row r="597" spans="1:10" ht="12" customHeight="1">
      <c r="A597" s="13" t="s">
        <v>8803</v>
      </c>
      <c r="B597" s="13" t="s">
        <v>8804</v>
      </c>
      <c r="C597" s="13" t="s">
        <v>284</v>
      </c>
      <c r="D597" s="13" t="s">
        <v>8717</v>
      </c>
      <c r="E597" s="13" t="s">
        <v>93</v>
      </c>
      <c r="F597" s="13" t="s">
        <v>8805</v>
      </c>
      <c r="G597" s="20" t="str">
        <f>HYPERLINK("https://semena-nn.ru/catalog/32/999000000495","Фото")</f>
        <v>Фото</v>
      </c>
      <c r="H597" s="18">
        <v>28.3</v>
      </c>
      <c r="I597" s="27"/>
      <c r="J597" s="13">
        <f>H597*I597</f>
        <v>0</v>
      </c>
    </row>
    <row r="598" spans="1:10" ht="12" customHeight="1">
      <c r="A598" s="13" t="s">
        <v>2790</v>
      </c>
      <c r="B598" s="13" t="s">
        <v>2791</v>
      </c>
      <c r="C598" s="13" t="s">
        <v>284</v>
      </c>
      <c r="D598" s="13" t="s">
        <v>697</v>
      </c>
      <c r="E598" s="13" t="s">
        <v>2636</v>
      </c>
      <c r="F598" s="13" t="s">
        <v>2792</v>
      </c>
      <c r="G598" s="20" t="str">
        <f>HYPERLINK("http://semena-nn.ru/catalog/32/1115731","Фото")</f>
        <v>Фото</v>
      </c>
      <c r="H598" s="18">
        <v>11.6</v>
      </c>
      <c r="I598" s="27"/>
      <c r="J598" s="13">
        <f>H598*I598</f>
        <v>0</v>
      </c>
    </row>
    <row r="599" spans="1:10" ht="12" customHeight="1">
      <c r="A599" s="13" t="s">
        <v>1147</v>
      </c>
      <c r="B599" s="13" t="s">
        <v>1148</v>
      </c>
      <c r="C599" s="13" t="s">
        <v>284</v>
      </c>
      <c r="D599" s="13" t="s">
        <v>697</v>
      </c>
      <c r="E599" s="13" t="s">
        <v>1085</v>
      </c>
      <c r="F599" s="13" t="s">
        <v>1149</v>
      </c>
      <c r="G599" s="20" t="str">
        <f>HYPERLINK("http://www.semena-nn.ru/catalog/32/1117904","Фото")</f>
        <v>Фото</v>
      </c>
      <c r="H599" s="18">
        <v>26.4</v>
      </c>
      <c r="I599" s="27"/>
      <c r="J599" s="13">
        <f>H599*I599</f>
        <v>0</v>
      </c>
    </row>
    <row r="600" spans="1:10" ht="12" customHeight="1">
      <c r="A600" s="13" t="s">
        <v>5016</v>
      </c>
      <c r="B600" s="13" t="s">
        <v>5017</v>
      </c>
      <c r="C600" s="13" t="s">
        <v>284</v>
      </c>
      <c r="D600" s="13" t="s">
        <v>3475</v>
      </c>
      <c r="E600" s="13" t="s">
        <v>93</v>
      </c>
      <c r="F600" s="13" t="s">
        <v>5018</v>
      </c>
      <c r="G600" s="20" t="str">
        <f>HYPERLINK("https://semena-nn.ru/catalog/32/1302248","Фото")</f>
        <v>Фото</v>
      </c>
      <c r="H600" s="19">
        <v>16.850000000000001</v>
      </c>
      <c r="I600" s="27"/>
      <c r="J600" s="13">
        <f>H600*I600</f>
        <v>0</v>
      </c>
    </row>
    <row r="601" spans="1:10" ht="12" customHeight="1">
      <c r="A601" s="13" t="s">
        <v>3200</v>
      </c>
      <c r="B601" s="13" t="s">
        <v>3201</v>
      </c>
      <c r="C601" s="13" t="s">
        <v>284</v>
      </c>
      <c r="D601" s="13" t="s">
        <v>697</v>
      </c>
      <c r="E601" s="13" t="s">
        <v>3064</v>
      </c>
      <c r="F601" s="13" t="s">
        <v>3202</v>
      </c>
      <c r="G601" s="20" t="str">
        <f>HYPERLINK("http://semena-nn.ru/catalog/32/1306520","Фото")</f>
        <v>Фото</v>
      </c>
      <c r="H601" s="18">
        <v>13.8</v>
      </c>
      <c r="I601" s="27"/>
      <c r="J601" s="13">
        <f>H601*I601</f>
        <v>0</v>
      </c>
    </row>
    <row r="602" spans="1:10" ht="12" customHeight="1">
      <c r="A602" s="13" t="s">
        <v>1150</v>
      </c>
      <c r="B602" s="13" t="s">
        <v>1151</v>
      </c>
      <c r="C602" s="13" t="s">
        <v>284</v>
      </c>
      <c r="D602" s="13" t="s">
        <v>697</v>
      </c>
      <c r="E602" s="13" t="s">
        <v>93</v>
      </c>
      <c r="F602" s="13" t="s">
        <v>1152</v>
      </c>
      <c r="G602" s="20" t="str">
        <f>HYPERLINK("http://semena-nn.ru/catalog/32/1309918","Фото")</f>
        <v>Фото</v>
      </c>
      <c r="H602" s="18">
        <v>26.4</v>
      </c>
      <c r="I602" s="27"/>
      <c r="J602" s="13">
        <f>H602*I602</f>
        <v>0</v>
      </c>
    </row>
    <row r="603" spans="1:10" ht="12" customHeight="1">
      <c r="A603" s="13" t="s">
        <v>1153</v>
      </c>
      <c r="B603" s="13" t="s">
        <v>1154</v>
      </c>
      <c r="C603" s="13" t="s">
        <v>284</v>
      </c>
      <c r="D603" s="13" t="s">
        <v>697</v>
      </c>
      <c r="E603" s="13" t="s">
        <v>93</v>
      </c>
      <c r="F603" s="13" t="s">
        <v>1155</v>
      </c>
      <c r="G603" s="20" t="str">
        <f>HYPERLINK("http://semena-nn.ru/catalog/32/1120443","Фото")</f>
        <v>Фото</v>
      </c>
      <c r="H603" s="19">
        <v>20.95</v>
      </c>
      <c r="I603" s="27"/>
      <c r="J603" s="13">
        <f>H603*I603</f>
        <v>0</v>
      </c>
    </row>
    <row r="604" spans="1:10" ht="12" customHeight="1">
      <c r="A604" s="13" t="s">
        <v>1156</v>
      </c>
      <c r="B604" s="13" t="s">
        <v>1157</v>
      </c>
      <c r="C604" s="13" t="s">
        <v>284</v>
      </c>
      <c r="D604" s="13" t="s">
        <v>697</v>
      </c>
      <c r="E604" s="13" t="s">
        <v>1085</v>
      </c>
      <c r="F604" s="13" t="s">
        <v>1158</v>
      </c>
      <c r="G604" s="20" t="str">
        <f>HYPERLINK("http://semena-nn.ru/catalog/32/1117906","Фото")</f>
        <v>Фото</v>
      </c>
      <c r="H604" s="18">
        <v>26.4</v>
      </c>
      <c r="I604" s="27"/>
      <c r="J604" s="13">
        <f>H604*I604</f>
        <v>0</v>
      </c>
    </row>
    <row r="605" spans="1:10" ht="12" customHeight="1">
      <c r="A605" s="13" t="s">
        <v>3203</v>
      </c>
      <c r="B605" s="13" t="s">
        <v>3204</v>
      </c>
      <c r="C605" s="13" t="s">
        <v>284</v>
      </c>
      <c r="D605" s="13" t="s">
        <v>697</v>
      </c>
      <c r="E605" s="13" t="s">
        <v>3064</v>
      </c>
      <c r="F605" s="13" t="s">
        <v>3205</v>
      </c>
      <c r="G605" s="20" t="str">
        <f>HYPERLINK("https://semena-nn.ru/catalog/32/999000012617","Фото")</f>
        <v>Фото</v>
      </c>
      <c r="H605" s="19">
        <v>13.76</v>
      </c>
      <c r="I605" s="27"/>
      <c r="J605" s="13">
        <f>H605*I605</f>
        <v>0</v>
      </c>
    </row>
    <row r="606" spans="1:10" ht="12" customHeight="1">
      <c r="A606" s="13" t="s">
        <v>1159</v>
      </c>
      <c r="B606" s="13" t="s">
        <v>1160</v>
      </c>
      <c r="C606" s="13" t="s">
        <v>284</v>
      </c>
      <c r="D606" s="13" t="s">
        <v>697</v>
      </c>
      <c r="E606" s="13" t="s">
        <v>93</v>
      </c>
      <c r="F606" s="13" t="s">
        <v>1161</v>
      </c>
      <c r="G606" s="20" t="str">
        <f>HYPERLINK("http://semena-nn.ru/catalog/32/1309919","Фото")</f>
        <v>Фото</v>
      </c>
      <c r="H606" s="18">
        <v>26.4</v>
      </c>
      <c r="I606" s="27"/>
      <c r="J606" s="13">
        <f>H606*I606</f>
        <v>0</v>
      </c>
    </row>
    <row r="607" spans="1:10" ht="12" customHeight="1">
      <c r="A607" s="13" t="s">
        <v>3206</v>
      </c>
      <c r="B607" s="13" t="s">
        <v>3207</v>
      </c>
      <c r="C607" s="13" t="s">
        <v>284</v>
      </c>
      <c r="D607" s="13" t="s">
        <v>697</v>
      </c>
      <c r="E607" s="13" t="s">
        <v>3064</v>
      </c>
      <c r="F607" s="13" t="s">
        <v>3208</v>
      </c>
      <c r="G607" s="20" t="str">
        <f>HYPERLINK("http://semena-nn.ru/catalog/2/32/big_1288645.jpg","Фото")</f>
        <v>Фото</v>
      </c>
      <c r="H607" s="19">
        <v>12.65</v>
      </c>
      <c r="I607" s="27"/>
      <c r="J607" s="13">
        <f>H607*I607</f>
        <v>0</v>
      </c>
    </row>
    <row r="608" spans="1:10" ht="12" customHeight="1">
      <c r="A608" s="13" t="s">
        <v>282</v>
      </c>
      <c r="B608" s="13" t="s">
        <v>283</v>
      </c>
      <c r="C608" s="13" t="s">
        <v>284</v>
      </c>
      <c r="D608" s="13" t="s">
        <v>28</v>
      </c>
      <c r="E608" s="13" t="s">
        <v>93</v>
      </c>
      <c r="F608" s="13" t="s">
        <v>285</v>
      </c>
      <c r="G608" s="20" t="str">
        <f>HYPERLINK("https://semena-nn.ru/catalog/32/999000009688","Фото")</f>
        <v>Фото</v>
      </c>
      <c r="H608" s="19">
        <v>36.86</v>
      </c>
      <c r="I608" s="27"/>
      <c r="J608" s="13">
        <f>H608*I608</f>
        <v>0</v>
      </c>
    </row>
    <row r="609" spans="1:10" ht="12" customHeight="1">
      <c r="A609" s="13" t="s">
        <v>286</v>
      </c>
      <c r="B609" s="13" t="s">
        <v>287</v>
      </c>
      <c r="C609" s="13" t="s">
        <v>284</v>
      </c>
      <c r="D609" s="13" t="s">
        <v>28</v>
      </c>
      <c r="E609" s="13" t="s">
        <v>93</v>
      </c>
      <c r="F609" s="13" t="s">
        <v>288</v>
      </c>
      <c r="G609" s="20" t="str">
        <f>HYPERLINK("https://semena-nn.ru/catalog/32/999000009690","Фото")</f>
        <v>Фото</v>
      </c>
      <c r="H609" s="19">
        <v>36.86</v>
      </c>
      <c r="I609" s="27"/>
      <c r="J609" s="13">
        <f>H609*I609</f>
        <v>0</v>
      </c>
    </row>
    <row r="610" spans="1:10" ht="12" customHeight="1">
      <c r="A610" s="13" t="s">
        <v>289</v>
      </c>
      <c r="B610" s="13" t="s">
        <v>290</v>
      </c>
      <c r="C610" s="13" t="s">
        <v>284</v>
      </c>
      <c r="D610" s="13" t="s">
        <v>28</v>
      </c>
      <c r="E610" s="13" t="s">
        <v>93</v>
      </c>
      <c r="F610" s="13" t="s">
        <v>291</v>
      </c>
      <c r="G610" s="20" t="str">
        <f>HYPERLINK("https://semena-nn.ru/catalog/32/999000009691","Фото")</f>
        <v>Фото</v>
      </c>
      <c r="H610" s="19">
        <v>36.86</v>
      </c>
      <c r="I610" s="27"/>
      <c r="J610" s="13">
        <f>H610*I610</f>
        <v>0</v>
      </c>
    </row>
    <row r="611" spans="1:10" ht="12" customHeight="1">
      <c r="A611" s="13" t="s">
        <v>3209</v>
      </c>
      <c r="B611" s="13" t="s">
        <v>3210</v>
      </c>
      <c r="C611" s="13" t="s">
        <v>284</v>
      </c>
      <c r="D611" s="13" t="s">
        <v>697</v>
      </c>
      <c r="E611" s="13" t="s">
        <v>3064</v>
      </c>
      <c r="F611" s="13" t="s">
        <v>3211</v>
      </c>
      <c r="G611" s="20" t="str">
        <f>HYPERLINK("http://semena-nn.ru/catalog/32/1298440","Фото")</f>
        <v>Фото</v>
      </c>
      <c r="H611" s="19">
        <v>12.65</v>
      </c>
      <c r="I611" s="27"/>
      <c r="J611" s="13">
        <f>H611*I611</f>
        <v>0</v>
      </c>
    </row>
    <row r="612" spans="1:10" ht="12" customHeight="1">
      <c r="A612" s="13" t="s">
        <v>6905</v>
      </c>
      <c r="B612" s="13" t="s">
        <v>6906</v>
      </c>
      <c r="C612" s="13" t="s">
        <v>284</v>
      </c>
      <c r="D612" s="13" t="s">
        <v>87</v>
      </c>
      <c r="E612" s="13" t="s">
        <v>2636</v>
      </c>
      <c r="F612" s="13" t="s">
        <v>6907</v>
      </c>
      <c r="G612" s="20" t="str">
        <f>HYPERLINK("http://semena-nn.ru/catalog/32/1122219","Фото")</f>
        <v>Фото</v>
      </c>
      <c r="H612" s="18">
        <v>12.6</v>
      </c>
      <c r="I612" s="27"/>
      <c r="J612" s="13">
        <f>H612*I612</f>
        <v>0</v>
      </c>
    </row>
    <row r="613" spans="1:10" ht="12" customHeight="1">
      <c r="A613" s="13" t="s">
        <v>1162</v>
      </c>
      <c r="B613" s="13" t="s">
        <v>1163</v>
      </c>
      <c r="C613" s="13" t="s">
        <v>284</v>
      </c>
      <c r="D613" s="13" t="s">
        <v>697</v>
      </c>
      <c r="E613" s="13" t="s">
        <v>93</v>
      </c>
      <c r="F613" s="13" t="s">
        <v>1164</v>
      </c>
      <c r="G613" s="20" t="str">
        <f>HYPERLINK("http://semena-nn.ru/catalog/32/1314045","Фото")</f>
        <v>Фото</v>
      </c>
      <c r="H613" s="18">
        <v>26.4</v>
      </c>
      <c r="I613" s="27"/>
      <c r="J613" s="13">
        <f>H613*I613</f>
        <v>0</v>
      </c>
    </row>
    <row r="614" spans="1:10" ht="12" customHeight="1">
      <c r="A614" s="13" t="s">
        <v>6480</v>
      </c>
      <c r="B614" s="13" t="s">
        <v>6481</v>
      </c>
      <c r="C614" s="13" t="s">
        <v>284</v>
      </c>
      <c r="D614" s="13" t="s">
        <v>87</v>
      </c>
      <c r="E614" s="13" t="s">
        <v>1085</v>
      </c>
      <c r="F614" s="13" t="s">
        <v>6482</v>
      </c>
      <c r="G614" s="13"/>
      <c r="H614" s="18">
        <v>22.9</v>
      </c>
      <c r="I614" s="27"/>
      <c r="J614" s="13">
        <f>H614*I614</f>
        <v>0</v>
      </c>
    </row>
    <row r="615" spans="1:10" ht="12" customHeight="1">
      <c r="A615" s="13" t="s">
        <v>1165</v>
      </c>
      <c r="B615" s="13" t="s">
        <v>1166</v>
      </c>
      <c r="C615" s="13" t="s">
        <v>696</v>
      </c>
      <c r="D615" s="13" t="s">
        <v>697</v>
      </c>
      <c r="E615" s="13" t="s">
        <v>93</v>
      </c>
      <c r="F615" s="13" t="s">
        <v>1167</v>
      </c>
      <c r="G615" s="20" t="str">
        <f>HYPERLINK("https://semena-nn.ru/catalog/38/1290426","Фото")</f>
        <v>Фото</v>
      </c>
      <c r="H615" s="18">
        <v>17.8</v>
      </c>
      <c r="I615" s="27"/>
      <c r="J615" s="13">
        <f>H615*I615</f>
        <v>0</v>
      </c>
    </row>
    <row r="616" spans="1:10" ht="12" customHeight="1">
      <c r="A616" s="13" t="s">
        <v>3709</v>
      </c>
      <c r="B616" s="13" t="s">
        <v>3710</v>
      </c>
      <c r="C616" s="13" t="s">
        <v>696</v>
      </c>
      <c r="D616" s="13" t="s">
        <v>3475</v>
      </c>
      <c r="E616" s="13" t="s">
        <v>93</v>
      </c>
      <c r="F616" s="13" t="s">
        <v>3711</v>
      </c>
      <c r="G616" s="20" t="str">
        <f>HYPERLINK("https://semena-nn.ru/catalog/38/1282614","Фото")</f>
        <v>Фото</v>
      </c>
      <c r="H616" s="18">
        <v>18.7</v>
      </c>
      <c r="I616" s="27"/>
      <c r="J616" s="13">
        <f>H616*I616</f>
        <v>0</v>
      </c>
    </row>
    <row r="617" spans="1:10" ht="12" customHeight="1">
      <c r="A617" s="13" t="s">
        <v>1168</v>
      </c>
      <c r="B617" s="13" t="s">
        <v>1169</v>
      </c>
      <c r="C617" s="13" t="s">
        <v>696</v>
      </c>
      <c r="D617" s="13" t="s">
        <v>697</v>
      </c>
      <c r="E617" s="13" t="s">
        <v>93</v>
      </c>
      <c r="F617" s="13" t="s">
        <v>1170</v>
      </c>
      <c r="G617" s="20" t="str">
        <f>HYPERLINK("https://semena-nn.ru/catalog/38/1307359","Фото")</f>
        <v>Фото</v>
      </c>
      <c r="H617" s="19">
        <v>27.55</v>
      </c>
      <c r="I617" s="27"/>
      <c r="J617" s="13">
        <f>H617*I617</f>
        <v>0</v>
      </c>
    </row>
    <row r="618" spans="1:10" ht="12" customHeight="1">
      <c r="A618" s="13" t="s">
        <v>3712</v>
      </c>
      <c r="B618" s="13" t="s">
        <v>3713</v>
      </c>
      <c r="C618" s="13" t="s">
        <v>696</v>
      </c>
      <c r="D618" s="13" t="s">
        <v>3475</v>
      </c>
      <c r="E618" s="13" t="s">
        <v>93</v>
      </c>
      <c r="F618" s="13" t="s">
        <v>3714</v>
      </c>
      <c r="G618" s="20" t="str">
        <f>HYPERLINK("http://semena-nn.ru/catalog/38/1290547","Фото")</f>
        <v>Фото</v>
      </c>
      <c r="H618" s="18">
        <v>27.5</v>
      </c>
      <c r="I618" s="27"/>
      <c r="J618" s="13">
        <f>H618*I618</f>
        <v>0</v>
      </c>
    </row>
    <row r="619" spans="1:10" ht="12" customHeight="1">
      <c r="A619" s="13" t="s">
        <v>5019</v>
      </c>
      <c r="B619" s="13" t="s">
        <v>5020</v>
      </c>
      <c r="C619" s="13" t="s">
        <v>696</v>
      </c>
      <c r="D619" s="13" t="s">
        <v>3475</v>
      </c>
      <c r="E619" s="13" t="s">
        <v>5009</v>
      </c>
      <c r="F619" s="13" t="s">
        <v>5021</v>
      </c>
      <c r="G619" s="20" t="str">
        <f>HYPERLINK("https://semena-nn.ru/catalog/38/1312979","Фото")</f>
        <v>Фото</v>
      </c>
      <c r="H619" s="19">
        <v>17.850000000000001</v>
      </c>
      <c r="I619" s="27"/>
      <c r="J619" s="13">
        <f>H619*I619</f>
        <v>0</v>
      </c>
    </row>
    <row r="620" spans="1:10" ht="12" customHeight="1">
      <c r="A620" s="13" t="s">
        <v>3715</v>
      </c>
      <c r="B620" s="13" t="s">
        <v>3716</v>
      </c>
      <c r="C620" s="13" t="s">
        <v>91</v>
      </c>
      <c r="D620" s="13" t="s">
        <v>3475</v>
      </c>
      <c r="E620" s="13" t="s">
        <v>93</v>
      </c>
      <c r="F620" s="13" t="s">
        <v>3717</v>
      </c>
      <c r="G620" s="20" t="str">
        <f>HYPERLINK("http://www.semena-nn.ru/catalog/33/1282346","Фото")</f>
        <v>Фото</v>
      </c>
      <c r="H620" s="19">
        <v>75.989999999999995</v>
      </c>
      <c r="I620" s="27"/>
      <c r="J620" s="13">
        <f>H620*I620</f>
        <v>0</v>
      </c>
    </row>
    <row r="621" spans="1:10" ht="12" customHeight="1">
      <c r="A621" s="13" t="s">
        <v>6019</v>
      </c>
      <c r="B621" s="13" t="s">
        <v>6020</v>
      </c>
      <c r="C621" s="13" t="s">
        <v>91</v>
      </c>
      <c r="D621" s="13" t="s">
        <v>6021</v>
      </c>
      <c r="E621" s="13" t="s">
        <v>93</v>
      </c>
      <c r="F621" s="13" t="s">
        <v>6022</v>
      </c>
      <c r="G621" s="20" t="str">
        <f>HYPERLINK("http://semena-nn.ru/catalog/33/1303908","Фото")</f>
        <v>Фото</v>
      </c>
      <c r="H621" s="19">
        <v>38.65</v>
      </c>
      <c r="I621" s="27"/>
      <c r="J621" s="13">
        <f>H621*I621</f>
        <v>0</v>
      </c>
    </row>
    <row r="622" spans="1:10" ht="12" customHeight="1">
      <c r="A622" s="13" t="s">
        <v>3718</v>
      </c>
      <c r="B622" s="13" t="s">
        <v>3719</v>
      </c>
      <c r="C622" s="13" t="s">
        <v>91</v>
      </c>
      <c r="D622" s="13" t="s">
        <v>3475</v>
      </c>
      <c r="E622" s="13" t="s">
        <v>93</v>
      </c>
      <c r="F622" s="13" t="s">
        <v>3720</v>
      </c>
      <c r="G622" s="20" t="str">
        <f>HYPERLINK("http://semena-nn.ru/catalog/33/1303863","Фото")</f>
        <v>Фото</v>
      </c>
      <c r="H622" s="19">
        <v>91.25</v>
      </c>
      <c r="I622" s="27"/>
      <c r="J622" s="13">
        <f>H622*I622</f>
        <v>0</v>
      </c>
    </row>
    <row r="623" spans="1:10" ht="12" customHeight="1">
      <c r="A623" s="13" t="s">
        <v>7862</v>
      </c>
      <c r="B623" s="13" t="s">
        <v>7863</v>
      </c>
      <c r="C623" s="13" t="s">
        <v>91</v>
      </c>
      <c r="D623" s="13" t="s">
        <v>7728</v>
      </c>
      <c r="E623" s="13" t="s">
        <v>93</v>
      </c>
      <c r="F623" s="13" t="s">
        <v>7864</v>
      </c>
      <c r="G623" s="20" t="str">
        <f>HYPERLINK("https://semena-nn.ru/catalog/33/999000007847","Фото")</f>
        <v>Фото</v>
      </c>
      <c r="H623" s="19">
        <v>57.65</v>
      </c>
      <c r="I623" s="27"/>
      <c r="J623" s="13">
        <f>H623*I623</f>
        <v>0</v>
      </c>
    </row>
    <row r="624" spans="1:10" ht="12" customHeight="1">
      <c r="A624" s="13" t="s">
        <v>5881</v>
      </c>
      <c r="B624" s="13" t="s">
        <v>5882</v>
      </c>
      <c r="C624" s="13" t="s">
        <v>91</v>
      </c>
      <c r="D624" s="13" t="s">
        <v>5834</v>
      </c>
      <c r="E624" s="13" t="s">
        <v>93</v>
      </c>
      <c r="F624" s="13" t="s">
        <v>5883</v>
      </c>
      <c r="G624" s="20" t="str">
        <f>HYPERLINK("https://semena-nn.ru/catalog/33/888000001531","Фото")</f>
        <v>Фото</v>
      </c>
      <c r="H624" s="19">
        <v>78.540000000000006</v>
      </c>
      <c r="I624" s="27"/>
      <c r="J624" s="13">
        <f>H624*I624</f>
        <v>0</v>
      </c>
    </row>
    <row r="625" spans="1:10" ht="12" customHeight="1">
      <c r="A625" s="13" t="s">
        <v>1171</v>
      </c>
      <c r="B625" s="13" t="s">
        <v>1172</v>
      </c>
      <c r="C625" s="13" t="s">
        <v>91</v>
      </c>
      <c r="D625" s="13" t="s">
        <v>697</v>
      </c>
      <c r="E625" s="13" t="s">
        <v>93</v>
      </c>
      <c r="F625" s="13" t="s">
        <v>1173</v>
      </c>
      <c r="G625" s="20" t="str">
        <f>HYPERLINK("https://semena-nn.ru/catalog/33/999000013122","Фото")</f>
        <v>Фото</v>
      </c>
      <c r="H625" s="19">
        <v>30.25</v>
      </c>
      <c r="I625" s="27"/>
      <c r="J625" s="13">
        <f>H625*I625</f>
        <v>0</v>
      </c>
    </row>
    <row r="626" spans="1:10" ht="12" customHeight="1">
      <c r="A626" s="13" t="s">
        <v>6023</v>
      </c>
      <c r="B626" s="13" t="s">
        <v>6024</v>
      </c>
      <c r="C626" s="13" t="s">
        <v>91</v>
      </c>
      <c r="D626" s="13" t="s">
        <v>6021</v>
      </c>
      <c r="E626" s="13" t="s">
        <v>93</v>
      </c>
      <c r="F626" s="13" t="s">
        <v>6025</v>
      </c>
      <c r="G626" s="20" t="str">
        <f>HYPERLINK("http://www.semena-nn.ru/catalog/33/112956","Фото")</f>
        <v>Фото</v>
      </c>
      <c r="H626" s="18">
        <v>43.5</v>
      </c>
      <c r="I626" s="27"/>
      <c r="J626" s="13">
        <f>H626*I626</f>
        <v>0</v>
      </c>
    </row>
    <row r="627" spans="1:10" ht="12" customHeight="1">
      <c r="A627" s="13" t="s">
        <v>7240</v>
      </c>
      <c r="B627" s="13" t="s">
        <v>7241</v>
      </c>
      <c r="C627" s="13" t="s">
        <v>91</v>
      </c>
      <c r="D627" s="13" t="s">
        <v>7148</v>
      </c>
      <c r="E627" s="13" t="s">
        <v>93</v>
      </c>
      <c r="F627" s="13" t="s">
        <v>7242</v>
      </c>
      <c r="G627" s="20" t="str">
        <f>HYPERLINK("https://semena-nn.ru/catalog/33/1314193","Фото")</f>
        <v>Фото</v>
      </c>
      <c r="H627" s="18">
        <v>66.8</v>
      </c>
      <c r="I627" s="27"/>
      <c r="J627" s="13">
        <f>H627*I627</f>
        <v>0</v>
      </c>
    </row>
    <row r="628" spans="1:10" ht="12" customHeight="1">
      <c r="A628" s="13" t="s">
        <v>8806</v>
      </c>
      <c r="B628" s="13" t="s">
        <v>8807</v>
      </c>
      <c r="C628" s="13" t="s">
        <v>91</v>
      </c>
      <c r="D628" s="13" t="s">
        <v>8717</v>
      </c>
      <c r="E628" s="13" t="s">
        <v>93</v>
      </c>
      <c r="F628" s="13" t="s">
        <v>8808</v>
      </c>
      <c r="G628" s="20" t="str">
        <f>HYPERLINK("https://semena-nn.ru/catalog/33/999000020180","Фото")</f>
        <v>Фото</v>
      </c>
      <c r="H628" s="19">
        <v>54.65</v>
      </c>
      <c r="I628" s="27"/>
      <c r="J628" s="13">
        <f>H628*I628</f>
        <v>0</v>
      </c>
    </row>
    <row r="629" spans="1:10" ht="12" customHeight="1">
      <c r="A629" s="13" t="s">
        <v>6483</v>
      </c>
      <c r="B629" s="13" t="s">
        <v>6484</v>
      </c>
      <c r="C629" s="13" t="s">
        <v>91</v>
      </c>
      <c r="D629" s="13" t="s">
        <v>87</v>
      </c>
      <c r="E629" s="13" t="s">
        <v>93</v>
      </c>
      <c r="F629" s="13" t="s">
        <v>6485</v>
      </c>
      <c r="G629" s="20" t="str">
        <f>HYPERLINK("http://semena-nn.ru/catalog/2/33/big_1122250.jpg","Фото")</f>
        <v>Фото</v>
      </c>
      <c r="H629" s="18">
        <v>100.8</v>
      </c>
      <c r="I629" s="27"/>
      <c r="J629" s="13">
        <f>H629*I629</f>
        <v>0</v>
      </c>
    </row>
    <row r="630" spans="1:10" ht="12" customHeight="1">
      <c r="A630" s="13" t="s">
        <v>3721</v>
      </c>
      <c r="B630" s="13" t="s">
        <v>3722</v>
      </c>
      <c r="C630" s="13" t="s">
        <v>91</v>
      </c>
      <c r="D630" s="13" t="s">
        <v>3475</v>
      </c>
      <c r="E630" s="13" t="s">
        <v>93</v>
      </c>
      <c r="F630" s="13" t="s">
        <v>3723</v>
      </c>
      <c r="G630" s="20" t="str">
        <f>HYPERLINK("http://semena-nn.ru/catalog/33/1301413","Фото")</f>
        <v>Фото</v>
      </c>
      <c r="H630" s="18">
        <v>91.4</v>
      </c>
      <c r="I630" s="27"/>
      <c r="J630" s="13">
        <f>H630*I630</f>
        <v>0</v>
      </c>
    </row>
    <row r="631" spans="1:10" ht="12" customHeight="1">
      <c r="A631" s="13" t="s">
        <v>6026</v>
      </c>
      <c r="B631" s="13" t="s">
        <v>6027</v>
      </c>
      <c r="C631" s="13" t="s">
        <v>91</v>
      </c>
      <c r="D631" s="13" t="s">
        <v>6021</v>
      </c>
      <c r="E631" s="13" t="s">
        <v>93</v>
      </c>
      <c r="F631" s="13" t="s">
        <v>6028</v>
      </c>
      <c r="G631" s="20" t="str">
        <f>HYPERLINK("http://www.semena-nn.ru/catalog/33/92388","Фото")</f>
        <v>Фото</v>
      </c>
      <c r="H631" s="18">
        <v>43.5</v>
      </c>
      <c r="I631" s="27"/>
      <c r="J631" s="13">
        <f>H631*I631</f>
        <v>0</v>
      </c>
    </row>
    <row r="632" spans="1:10" ht="12" customHeight="1">
      <c r="A632" s="13" t="s">
        <v>7865</v>
      </c>
      <c r="B632" s="13" t="s">
        <v>7866</v>
      </c>
      <c r="C632" s="13" t="s">
        <v>91</v>
      </c>
      <c r="D632" s="13" t="s">
        <v>7728</v>
      </c>
      <c r="E632" s="13" t="s">
        <v>93</v>
      </c>
      <c r="F632" s="13" t="s">
        <v>7867</v>
      </c>
      <c r="G632" s="20" t="str">
        <f>HYPERLINK("http://semena-nn.ru/catalog/33/97340","Фото")</f>
        <v>Фото</v>
      </c>
      <c r="H632" s="18">
        <v>32.799999999999997</v>
      </c>
      <c r="I632" s="27"/>
      <c r="J632" s="13">
        <f>H632*I632</f>
        <v>0</v>
      </c>
    </row>
    <row r="633" spans="1:10" ht="12" customHeight="1">
      <c r="A633" s="13" t="s">
        <v>2793</v>
      </c>
      <c r="B633" s="13" t="s">
        <v>2794</v>
      </c>
      <c r="C633" s="13" t="s">
        <v>91</v>
      </c>
      <c r="D633" s="13" t="s">
        <v>697</v>
      </c>
      <c r="E633" s="13" t="s">
        <v>2636</v>
      </c>
      <c r="F633" s="13" t="s">
        <v>2795</v>
      </c>
      <c r="G633" s="20" t="str">
        <f>HYPERLINK("http://semena-nn.ru/catalog/33/3095","Фото")</f>
        <v>Фото</v>
      </c>
      <c r="H633" s="19">
        <v>15.55</v>
      </c>
      <c r="I633" s="27"/>
      <c r="J633" s="13">
        <f>H633*I633</f>
        <v>0</v>
      </c>
    </row>
    <row r="634" spans="1:10" ht="12" customHeight="1">
      <c r="A634" s="13" t="s">
        <v>6029</v>
      </c>
      <c r="B634" s="13" t="s">
        <v>6030</v>
      </c>
      <c r="C634" s="13" t="s">
        <v>91</v>
      </c>
      <c r="D634" s="13" t="s">
        <v>6021</v>
      </c>
      <c r="E634" s="13" t="s">
        <v>93</v>
      </c>
      <c r="F634" s="13" t="s">
        <v>6031</v>
      </c>
      <c r="G634" s="20" t="str">
        <f>HYPERLINK("http://semena-nn.ru/catalog/33/91529","Фото")</f>
        <v>Фото</v>
      </c>
      <c r="H634" s="18">
        <v>41.1</v>
      </c>
      <c r="I634" s="27"/>
      <c r="J634" s="13">
        <f>H634*I634</f>
        <v>0</v>
      </c>
    </row>
    <row r="635" spans="1:10" ht="12" customHeight="1">
      <c r="A635" s="13" t="s">
        <v>89</v>
      </c>
      <c r="B635" s="13" t="s">
        <v>90</v>
      </c>
      <c r="C635" s="13" t="s">
        <v>91</v>
      </c>
      <c r="D635" s="13" t="s">
        <v>92</v>
      </c>
      <c r="E635" s="13" t="s">
        <v>93</v>
      </c>
      <c r="F635" s="13" t="s">
        <v>94</v>
      </c>
      <c r="G635" s="20" t="str">
        <f>HYPERLINK("https://semena-nn.ru/catalog/33/888000000206","Фото")</f>
        <v>Фото</v>
      </c>
      <c r="H635" s="18">
        <v>36.9</v>
      </c>
      <c r="I635" s="27"/>
      <c r="J635" s="13">
        <f>H635*I635</f>
        <v>0</v>
      </c>
    </row>
    <row r="636" spans="1:10" ht="12" customHeight="1">
      <c r="A636" s="13" t="s">
        <v>5022</v>
      </c>
      <c r="B636" s="13" t="s">
        <v>5023</v>
      </c>
      <c r="C636" s="13" t="s">
        <v>91</v>
      </c>
      <c r="D636" s="13" t="s">
        <v>3475</v>
      </c>
      <c r="E636" s="13" t="s">
        <v>5009</v>
      </c>
      <c r="F636" s="13" t="s">
        <v>5024</v>
      </c>
      <c r="G636" s="20" t="str">
        <f>HYPERLINK("https://semena-nn.ru/catalog/33/999000020576","Фото")</f>
        <v>Фото</v>
      </c>
      <c r="H636" s="18">
        <v>17.5</v>
      </c>
      <c r="I636" s="27"/>
      <c r="J636" s="13">
        <f>H636*I636</f>
        <v>0</v>
      </c>
    </row>
    <row r="637" spans="1:10" ht="12" customHeight="1">
      <c r="A637" s="13" t="s">
        <v>6486</v>
      </c>
      <c r="B637" s="13" t="s">
        <v>6487</v>
      </c>
      <c r="C637" s="13" t="s">
        <v>91</v>
      </c>
      <c r="D637" s="13" t="s">
        <v>87</v>
      </c>
      <c r="E637" s="13" t="s">
        <v>93</v>
      </c>
      <c r="F637" s="13" t="s">
        <v>6488</v>
      </c>
      <c r="G637" s="20" t="str">
        <f>HYPERLINK("https://semena-nn.ru/catalog/33/999000011909","Фото")</f>
        <v>Фото</v>
      </c>
      <c r="H637" s="19">
        <v>17.850000000000001</v>
      </c>
      <c r="I637" s="27"/>
      <c r="J637" s="13">
        <f>H637*I637</f>
        <v>0</v>
      </c>
    </row>
    <row r="638" spans="1:10" ht="12" customHeight="1">
      <c r="A638" s="13" t="s">
        <v>6908</v>
      </c>
      <c r="B638" s="13" t="s">
        <v>6909</v>
      </c>
      <c r="C638" s="13" t="s">
        <v>91</v>
      </c>
      <c r="D638" s="13" t="s">
        <v>87</v>
      </c>
      <c r="E638" s="13" t="s">
        <v>2636</v>
      </c>
      <c r="F638" s="13" t="s">
        <v>6488</v>
      </c>
      <c r="G638" s="20" t="str">
        <f>HYPERLINK("https://semena-nn.ru/catalog/33/1118372","Фото")</f>
        <v>Фото</v>
      </c>
      <c r="H638" s="19">
        <v>17.850000000000001</v>
      </c>
      <c r="I638" s="27"/>
      <c r="J638" s="13">
        <f>H638*I638</f>
        <v>0</v>
      </c>
    </row>
    <row r="639" spans="1:10" ht="12" customHeight="1">
      <c r="A639" s="13" t="s">
        <v>6032</v>
      </c>
      <c r="B639" s="13" t="s">
        <v>6033</v>
      </c>
      <c r="C639" s="13" t="s">
        <v>91</v>
      </c>
      <c r="D639" s="13" t="s">
        <v>6021</v>
      </c>
      <c r="E639" s="13" t="s">
        <v>93</v>
      </c>
      <c r="F639" s="13" t="s">
        <v>6034</v>
      </c>
      <c r="G639" s="20" t="str">
        <f>HYPERLINK("http://semena-nn.ru/catalog/33/94311","Фото")</f>
        <v>Фото</v>
      </c>
      <c r="H639" s="19">
        <v>38.65</v>
      </c>
      <c r="I639" s="27"/>
      <c r="J639" s="13">
        <f>H639*I639</f>
        <v>0</v>
      </c>
    </row>
    <row r="640" spans="1:10" ht="12" customHeight="1">
      <c r="A640" s="13" t="s">
        <v>5216</v>
      </c>
      <c r="B640" s="13" t="s">
        <v>5217</v>
      </c>
      <c r="C640" s="13" t="s">
        <v>91</v>
      </c>
      <c r="D640" s="13" t="s">
        <v>5136</v>
      </c>
      <c r="E640" s="13" t="s">
        <v>93</v>
      </c>
      <c r="F640" s="13" t="s">
        <v>5218</v>
      </c>
      <c r="G640" s="20" t="str">
        <f>HYPERLINK("https://semena-nn.ru/catalog/33/888000007810","Фото")</f>
        <v>Фото</v>
      </c>
      <c r="H640" s="18">
        <v>94.5</v>
      </c>
      <c r="I640" s="27"/>
      <c r="J640" s="13">
        <f>H640*I640</f>
        <v>0</v>
      </c>
    </row>
    <row r="641" spans="1:10" ht="12" customHeight="1">
      <c r="A641" s="13" t="s">
        <v>95</v>
      </c>
      <c r="B641" s="13" t="s">
        <v>96</v>
      </c>
      <c r="C641" s="13" t="s">
        <v>91</v>
      </c>
      <c r="D641" s="13" t="s">
        <v>92</v>
      </c>
      <c r="E641" s="13" t="s">
        <v>93</v>
      </c>
      <c r="F641" s="13" t="s">
        <v>97</v>
      </c>
      <c r="G641" s="20" t="str">
        <f>HYPERLINK("https://semena-nn.ru/catalog/33/888000000207","Фото")</f>
        <v>Фото</v>
      </c>
      <c r="H641" s="19">
        <v>68.25</v>
      </c>
      <c r="I641" s="27"/>
      <c r="J641" s="13">
        <f>H641*I641</f>
        <v>0</v>
      </c>
    </row>
    <row r="642" spans="1:10" ht="12" customHeight="1">
      <c r="A642" s="13" t="s">
        <v>98</v>
      </c>
      <c r="B642" s="13" t="s">
        <v>99</v>
      </c>
      <c r="C642" s="13" t="s">
        <v>91</v>
      </c>
      <c r="D642" s="13" t="s">
        <v>92</v>
      </c>
      <c r="E642" s="13" t="s">
        <v>93</v>
      </c>
      <c r="F642" s="17" t="s">
        <v>100</v>
      </c>
      <c r="G642" s="20" t="str">
        <f>HYPERLINK("https://semena-nn.ru/catalog/33/888000000208","Фото")</f>
        <v>Фото</v>
      </c>
      <c r="H642" s="19">
        <v>68.25</v>
      </c>
      <c r="I642" s="27"/>
      <c r="J642" s="13">
        <f>H642*I642</f>
        <v>0</v>
      </c>
    </row>
    <row r="643" spans="1:10" ht="12" customHeight="1">
      <c r="A643" s="13" t="s">
        <v>1174</v>
      </c>
      <c r="B643" s="13" t="s">
        <v>1175</v>
      </c>
      <c r="C643" s="13" t="s">
        <v>91</v>
      </c>
      <c r="D643" s="13" t="s">
        <v>697</v>
      </c>
      <c r="E643" s="13" t="s">
        <v>93</v>
      </c>
      <c r="F643" s="13" t="s">
        <v>1176</v>
      </c>
      <c r="G643" s="20" t="str">
        <f>HYPERLINK("https://semena-nn.ru/catalog/33/999000009156","Фото")</f>
        <v>Фото</v>
      </c>
      <c r="H643" s="18">
        <v>25.6</v>
      </c>
      <c r="I643" s="27"/>
      <c r="J643" s="13">
        <f>H643*I643</f>
        <v>0</v>
      </c>
    </row>
    <row r="644" spans="1:10" ht="12" customHeight="1">
      <c r="A644" s="13" t="s">
        <v>6035</v>
      </c>
      <c r="B644" s="13" t="s">
        <v>6036</v>
      </c>
      <c r="C644" s="13" t="s">
        <v>91</v>
      </c>
      <c r="D644" s="13" t="s">
        <v>6021</v>
      </c>
      <c r="E644" s="13" t="s">
        <v>93</v>
      </c>
      <c r="F644" s="13" t="s">
        <v>6037</v>
      </c>
      <c r="G644" s="20" t="str">
        <f>HYPERLINK("http://semena-nn.ru/catalog/33/1780","Фото")</f>
        <v>Фото</v>
      </c>
      <c r="H644" s="18">
        <v>42.3</v>
      </c>
      <c r="I644" s="27"/>
      <c r="J644" s="13">
        <f>H644*I644</f>
        <v>0</v>
      </c>
    </row>
    <row r="645" spans="1:10" ht="12" customHeight="1">
      <c r="A645" s="13" t="s">
        <v>1177</v>
      </c>
      <c r="B645" s="13" t="s">
        <v>1178</v>
      </c>
      <c r="C645" s="13" t="s">
        <v>91</v>
      </c>
      <c r="D645" s="13" t="s">
        <v>697</v>
      </c>
      <c r="E645" s="13" t="s">
        <v>93</v>
      </c>
      <c r="F645" s="13" t="s">
        <v>1179</v>
      </c>
      <c r="G645" s="20" t="str">
        <f>HYPERLINK("https://semena-nn.ru/catalog/33/1282384","Фото")</f>
        <v>Фото</v>
      </c>
      <c r="H645" s="18">
        <v>32.700000000000003</v>
      </c>
      <c r="I645" s="27"/>
      <c r="J645" s="13">
        <f>H645*I645</f>
        <v>0</v>
      </c>
    </row>
    <row r="646" spans="1:10" ht="12" customHeight="1">
      <c r="A646" s="13" t="s">
        <v>3724</v>
      </c>
      <c r="B646" s="13" t="s">
        <v>3725</v>
      </c>
      <c r="C646" s="13" t="s">
        <v>91</v>
      </c>
      <c r="D646" s="13" t="s">
        <v>3475</v>
      </c>
      <c r="E646" s="13" t="s">
        <v>93</v>
      </c>
      <c r="F646" s="13" t="s">
        <v>3726</v>
      </c>
      <c r="G646" s="20" t="str">
        <f>HYPERLINK("http://semena-nn.ru/catalog/33/1282347","Фото")</f>
        <v>Фото</v>
      </c>
      <c r="H646" s="18">
        <v>43.5</v>
      </c>
      <c r="I646" s="27"/>
      <c r="J646" s="13">
        <f>H646*I646</f>
        <v>0</v>
      </c>
    </row>
    <row r="647" spans="1:10" ht="12" customHeight="1">
      <c r="A647" s="13" t="s">
        <v>3727</v>
      </c>
      <c r="B647" s="13" t="s">
        <v>3728</v>
      </c>
      <c r="C647" s="13" t="s">
        <v>91</v>
      </c>
      <c r="D647" s="13" t="s">
        <v>3475</v>
      </c>
      <c r="E647" s="13" t="s">
        <v>93</v>
      </c>
      <c r="F647" s="13" t="s">
        <v>3729</v>
      </c>
      <c r="G647" s="20" t="str">
        <f>HYPERLINK("http://semena-nn.ru/catalog/33/1301962","Фото")</f>
        <v>Фото</v>
      </c>
      <c r="H647" s="18">
        <v>55.3</v>
      </c>
      <c r="I647" s="27"/>
      <c r="J647" s="13">
        <f>H647*I647</f>
        <v>0</v>
      </c>
    </row>
    <row r="648" spans="1:10" ht="12" customHeight="1">
      <c r="A648" s="13" t="s">
        <v>6038</v>
      </c>
      <c r="B648" s="13" t="s">
        <v>6039</v>
      </c>
      <c r="C648" s="13" t="s">
        <v>91</v>
      </c>
      <c r="D648" s="13" t="s">
        <v>6021</v>
      </c>
      <c r="E648" s="13" t="s">
        <v>93</v>
      </c>
      <c r="F648" s="13" t="s">
        <v>6040</v>
      </c>
      <c r="G648" s="20" t="str">
        <f>HYPERLINK("http://semena-nn.ru/catalog/33/1307514","Фото")</f>
        <v>Фото</v>
      </c>
      <c r="H648" s="19">
        <v>38.65</v>
      </c>
      <c r="I648" s="27"/>
      <c r="J648" s="13">
        <f>H648*I648</f>
        <v>0</v>
      </c>
    </row>
    <row r="649" spans="1:10" ht="12" customHeight="1">
      <c r="A649" s="13" t="s">
        <v>6041</v>
      </c>
      <c r="B649" s="13" t="s">
        <v>6042</v>
      </c>
      <c r="C649" s="13" t="s">
        <v>91</v>
      </c>
      <c r="D649" s="13" t="s">
        <v>6021</v>
      </c>
      <c r="E649" s="13" t="s">
        <v>93</v>
      </c>
      <c r="F649" s="13" t="s">
        <v>6043</v>
      </c>
      <c r="G649" s="20" t="str">
        <f>HYPERLINK("https://semena-nn.ru/catalog/33/888000007610","Фото")</f>
        <v>Фото</v>
      </c>
      <c r="H649" s="19">
        <v>54.35</v>
      </c>
      <c r="I649" s="27"/>
      <c r="J649" s="13">
        <f>H649*I649</f>
        <v>0</v>
      </c>
    </row>
    <row r="650" spans="1:10" ht="12" customHeight="1">
      <c r="A650" s="13" t="s">
        <v>3730</v>
      </c>
      <c r="B650" s="13" t="s">
        <v>3731</v>
      </c>
      <c r="C650" s="13" t="s">
        <v>91</v>
      </c>
      <c r="D650" s="13" t="s">
        <v>3475</v>
      </c>
      <c r="E650" s="13" t="s">
        <v>93</v>
      </c>
      <c r="F650" s="13" t="s">
        <v>3732</v>
      </c>
      <c r="G650" s="20" t="str">
        <f>HYPERLINK("http://www.semena-nn.ru/catalog/33/1123213","Фото")</f>
        <v>Фото</v>
      </c>
      <c r="H650" s="18">
        <v>38.6</v>
      </c>
      <c r="I650" s="27"/>
      <c r="J650" s="13">
        <f>H650*I650</f>
        <v>0</v>
      </c>
    </row>
    <row r="651" spans="1:10" ht="12" customHeight="1">
      <c r="A651" s="13" t="s">
        <v>6044</v>
      </c>
      <c r="B651" s="13" t="s">
        <v>6045</v>
      </c>
      <c r="C651" s="13" t="s">
        <v>91</v>
      </c>
      <c r="D651" s="13" t="s">
        <v>6021</v>
      </c>
      <c r="E651" s="13" t="s">
        <v>93</v>
      </c>
      <c r="F651" s="13" t="s">
        <v>6046</v>
      </c>
      <c r="G651" s="20" t="str">
        <f>HYPERLINK("http://semena-nn.ru/catalog/33/1312484","Фото")</f>
        <v>Фото</v>
      </c>
      <c r="H651" s="18">
        <v>44.7</v>
      </c>
      <c r="I651" s="27"/>
      <c r="J651" s="13">
        <f>H651*I651</f>
        <v>0</v>
      </c>
    </row>
    <row r="652" spans="1:10" ht="12" customHeight="1">
      <c r="A652" s="13" t="s">
        <v>6047</v>
      </c>
      <c r="B652" s="13" t="s">
        <v>6048</v>
      </c>
      <c r="C652" s="13" t="s">
        <v>91</v>
      </c>
      <c r="D652" s="13" t="s">
        <v>6021</v>
      </c>
      <c r="E652" s="13" t="s">
        <v>93</v>
      </c>
      <c r="F652" s="13" t="s">
        <v>6049</v>
      </c>
      <c r="G652" s="20" t="str">
        <f>HYPERLINK("http://semena-nn.ru/catalog/33/1125988","Фото")</f>
        <v>Фото</v>
      </c>
      <c r="H652" s="18">
        <v>43.5</v>
      </c>
      <c r="I652" s="27"/>
      <c r="J652" s="13">
        <f>H652*I652</f>
        <v>0</v>
      </c>
    </row>
    <row r="653" spans="1:10" ht="12" customHeight="1">
      <c r="A653" s="13" t="s">
        <v>7868</v>
      </c>
      <c r="B653" s="13" t="s">
        <v>7869</v>
      </c>
      <c r="C653" s="13" t="s">
        <v>91</v>
      </c>
      <c r="D653" s="13" t="s">
        <v>7728</v>
      </c>
      <c r="E653" s="13" t="s">
        <v>93</v>
      </c>
      <c r="F653" s="13" t="s">
        <v>7870</v>
      </c>
      <c r="G653" s="20" t="str">
        <f>HYPERLINK("http://semena-nn.ru/catalog/33/1309547","Фото")</f>
        <v>Фото</v>
      </c>
      <c r="H653" s="19">
        <v>43.15</v>
      </c>
      <c r="I653" s="27"/>
      <c r="J653" s="13">
        <f>H653*I653</f>
        <v>0</v>
      </c>
    </row>
    <row r="654" spans="1:10" ht="12" customHeight="1">
      <c r="A654" s="13" t="s">
        <v>6050</v>
      </c>
      <c r="B654" s="13" t="s">
        <v>6051</v>
      </c>
      <c r="C654" s="13" t="s">
        <v>91</v>
      </c>
      <c r="D654" s="13" t="s">
        <v>6021</v>
      </c>
      <c r="E654" s="13" t="s">
        <v>93</v>
      </c>
      <c r="F654" s="13" t="s">
        <v>6052</v>
      </c>
      <c r="G654" s="20" t="str">
        <f>HYPERLINK("http://www.semena-nn.ru/catalog/33/1287824","Фото")</f>
        <v>Фото</v>
      </c>
      <c r="H654" s="18">
        <v>48.3</v>
      </c>
      <c r="I654" s="27"/>
      <c r="J654" s="13">
        <f>H654*I654</f>
        <v>0</v>
      </c>
    </row>
    <row r="655" spans="1:10" ht="12" customHeight="1">
      <c r="A655" s="13" t="s">
        <v>3733</v>
      </c>
      <c r="B655" s="13" t="s">
        <v>3734</v>
      </c>
      <c r="C655" s="13" t="s">
        <v>91</v>
      </c>
      <c r="D655" s="13" t="s">
        <v>3475</v>
      </c>
      <c r="E655" s="13" t="s">
        <v>93</v>
      </c>
      <c r="F655" s="13" t="s">
        <v>3735</v>
      </c>
      <c r="G655" s="20" t="str">
        <f>HYPERLINK("http://semena-nn.ru/catalog/33/113812","Фото")</f>
        <v>Фото</v>
      </c>
      <c r="H655" s="18">
        <v>52.9</v>
      </c>
      <c r="I655" s="27"/>
      <c r="J655" s="13">
        <f>H655*I655</f>
        <v>0</v>
      </c>
    </row>
    <row r="656" spans="1:10" ht="12" customHeight="1">
      <c r="A656" s="13" t="s">
        <v>5219</v>
      </c>
      <c r="B656" s="13" t="s">
        <v>5220</v>
      </c>
      <c r="C656" s="13" t="s">
        <v>91</v>
      </c>
      <c r="D656" s="13" t="s">
        <v>5136</v>
      </c>
      <c r="E656" s="13" t="s">
        <v>93</v>
      </c>
      <c r="F656" s="13" t="s">
        <v>5221</v>
      </c>
      <c r="G656" s="20" t="str">
        <f>HYPERLINK("https://semena-nn.ru/catalog/33/888000007811","Фото")</f>
        <v>Фото</v>
      </c>
      <c r="H656" s="15">
        <v>56</v>
      </c>
      <c r="I656" s="27"/>
      <c r="J656" s="13">
        <f>H656*I656</f>
        <v>0</v>
      </c>
    </row>
    <row r="657" spans="1:10" ht="12" customHeight="1">
      <c r="A657" s="13" t="s">
        <v>6053</v>
      </c>
      <c r="B657" s="13" t="s">
        <v>6054</v>
      </c>
      <c r="C657" s="13" t="s">
        <v>91</v>
      </c>
      <c r="D657" s="13" t="s">
        <v>6021</v>
      </c>
      <c r="E657" s="13" t="s">
        <v>93</v>
      </c>
      <c r="F657" s="13" t="s">
        <v>6055</v>
      </c>
      <c r="G657" s="20" t="str">
        <f>HYPERLINK("https://semena-nn.ru/catalog/33/999000011551","Фото")</f>
        <v>Фото</v>
      </c>
      <c r="H657" s="18">
        <v>48.3</v>
      </c>
      <c r="I657" s="27"/>
      <c r="J657" s="13">
        <f>H657*I657</f>
        <v>0</v>
      </c>
    </row>
    <row r="658" spans="1:10" ht="12" customHeight="1">
      <c r="A658" s="13" t="s">
        <v>1180</v>
      </c>
      <c r="B658" s="13" t="s">
        <v>1181</v>
      </c>
      <c r="C658" s="13" t="s">
        <v>91</v>
      </c>
      <c r="D658" s="13" t="s">
        <v>697</v>
      </c>
      <c r="E658" s="13" t="s">
        <v>93</v>
      </c>
      <c r="F658" s="13" t="s">
        <v>1182</v>
      </c>
      <c r="G658" s="20" t="str">
        <f>HYPERLINK("http://semena-nn.ru/catalog/33/1283356","Фото")</f>
        <v>Фото</v>
      </c>
      <c r="H658" s="18">
        <v>36.299999999999997</v>
      </c>
      <c r="I658" s="27"/>
      <c r="J658" s="13">
        <f>H658*I658</f>
        <v>0</v>
      </c>
    </row>
    <row r="659" spans="1:10" ht="12" customHeight="1">
      <c r="A659" s="13" t="s">
        <v>7871</v>
      </c>
      <c r="B659" s="13" t="s">
        <v>7872</v>
      </c>
      <c r="C659" s="13" t="s">
        <v>91</v>
      </c>
      <c r="D659" s="13" t="s">
        <v>7728</v>
      </c>
      <c r="E659" s="13" t="s">
        <v>93</v>
      </c>
      <c r="F659" s="13" t="s">
        <v>7873</v>
      </c>
      <c r="G659" s="20" t="str">
        <f>HYPERLINK("http://semena-nn.ru/catalog/33/999000003740","Фото")</f>
        <v>Фото</v>
      </c>
      <c r="H659" s="18">
        <v>34.5</v>
      </c>
      <c r="I659" s="27"/>
      <c r="J659" s="13">
        <f>H659*I659</f>
        <v>0</v>
      </c>
    </row>
    <row r="660" spans="1:10" ht="12" customHeight="1">
      <c r="A660" s="13" t="s">
        <v>3736</v>
      </c>
      <c r="B660" s="13" t="s">
        <v>3737</v>
      </c>
      <c r="C660" s="13" t="s">
        <v>91</v>
      </c>
      <c r="D660" s="13" t="s">
        <v>3475</v>
      </c>
      <c r="E660" s="13" t="s">
        <v>93</v>
      </c>
      <c r="F660" s="13" t="s">
        <v>3738</v>
      </c>
      <c r="G660" s="20" t="str">
        <f>HYPERLINK("http://semena-nn.ru/catalog/2/33/big_92619.jpg","Фото")</f>
        <v>Фото</v>
      </c>
      <c r="H660" s="18">
        <v>42.4</v>
      </c>
      <c r="I660" s="27"/>
      <c r="J660" s="13">
        <f>H660*I660</f>
        <v>0</v>
      </c>
    </row>
    <row r="661" spans="1:10" ht="12" customHeight="1">
      <c r="A661" s="13" t="s">
        <v>2796</v>
      </c>
      <c r="B661" s="13" t="s">
        <v>2797</v>
      </c>
      <c r="C661" s="13" t="s">
        <v>91</v>
      </c>
      <c r="D661" s="13" t="s">
        <v>697</v>
      </c>
      <c r="E661" s="13" t="s">
        <v>2636</v>
      </c>
      <c r="F661" s="13" t="s">
        <v>2798</v>
      </c>
      <c r="G661" s="20" t="str">
        <f>HYPERLINK("http://semena-nn.ru/catalog/33/3033","Фото")</f>
        <v>Фото</v>
      </c>
      <c r="H661" s="18">
        <v>15.5</v>
      </c>
      <c r="I661" s="27"/>
      <c r="J661" s="13">
        <f>H661*I661</f>
        <v>0</v>
      </c>
    </row>
    <row r="662" spans="1:10" ht="12" customHeight="1">
      <c r="A662" s="13" t="s">
        <v>3212</v>
      </c>
      <c r="B662" s="13" t="s">
        <v>3213</v>
      </c>
      <c r="C662" s="13" t="s">
        <v>91</v>
      </c>
      <c r="D662" s="13" t="s">
        <v>697</v>
      </c>
      <c r="E662" s="13" t="s">
        <v>3064</v>
      </c>
      <c r="F662" s="13" t="s">
        <v>3214</v>
      </c>
      <c r="G662" s="20" t="str">
        <f>HYPERLINK("https://semena-nn.ru/catalog/33/1288647","Фото")</f>
        <v>Фото</v>
      </c>
      <c r="H662" s="15">
        <v>17</v>
      </c>
      <c r="I662" s="27"/>
      <c r="J662" s="13">
        <f>H662*I662</f>
        <v>0</v>
      </c>
    </row>
    <row r="663" spans="1:10" ht="12" customHeight="1">
      <c r="A663" s="13" t="s">
        <v>292</v>
      </c>
      <c r="B663" s="13" t="s">
        <v>293</v>
      </c>
      <c r="C663" s="13" t="s">
        <v>91</v>
      </c>
      <c r="D663" s="13" t="s">
        <v>28</v>
      </c>
      <c r="E663" s="13" t="s">
        <v>93</v>
      </c>
      <c r="F663" s="13" t="s">
        <v>294</v>
      </c>
      <c r="G663" s="20" t="str">
        <f>HYPERLINK("https://semena-nn.ru/catalog/33/999000019852","Фото")</f>
        <v>Фото</v>
      </c>
      <c r="H663" s="19">
        <v>25.31</v>
      </c>
      <c r="I663" s="27"/>
      <c r="J663" s="13">
        <f>H663*I663</f>
        <v>0</v>
      </c>
    </row>
    <row r="664" spans="1:10" ht="12" customHeight="1">
      <c r="A664" s="13" t="s">
        <v>6056</v>
      </c>
      <c r="B664" s="13" t="s">
        <v>6057</v>
      </c>
      <c r="C664" s="13" t="s">
        <v>91</v>
      </c>
      <c r="D664" s="13" t="s">
        <v>6021</v>
      </c>
      <c r="E664" s="13" t="s">
        <v>93</v>
      </c>
      <c r="F664" s="13" t="s">
        <v>6058</v>
      </c>
      <c r="G664" s="20" t="str">
        <f>HYPERLINK("http://www.semena-nn.ru/catalog/33/1124878","Фото")</f>
        <v>Фото</v>
      </c>
      <c r="H664" s="18">
        <v>49.5</v>
      </c>
      <c r="I664" s="27"/>
      <c r="J664" s="13">
        <f>H664*I664</f>
        <v>0</v>
      </c>
    </row>
    <row r="665" spans="1:10" ht="12" customHeight="1">
      <c r="A665" s="13" t="s">
        <v>5884</v>
      </c>
      <c r="B665" s="13" t="s">
        <v>5885</v>
      </c>
      <c r="C665" s="13" t="s">
        <v>91</v>
      </c>
      <c r="D665" s="13" t="s">
        <v>5834</v>
      </c>
      <c r="E665" s="13" t="s">
        <v>93</v>
      </c>
      <c r="F665" s="13" t="s">
        <v>5886</v>
      </c>
      <c r="G665" s="20" t="str">
        <f>HYPERLINK("https://semena-nn.ru/catalog/33/888000001532","Фото")</f>
        <v>Фото</v>
      </c>
      <c r="H665" s="19">
        <v>27.51</v>
      </c>
      <c r="I665" s="27"/>
      <c r="J665" s="13">
        <f>H665*I665</f>
        <v>0</v>
      </c>
    </row>
    <row r="666" spans="1:10" ht="12" customHeight="1">
      <c r="A666" s="13" t="s">
        <v>7243</v>
      </c>
      <c r="B666" s="13" t="s">
        <v>7244</v>
      </c>
      <c r="C666" s="13" t="s">
        <v>91</v>
      </c>
      <c r="D666" s="13" t="s">
        <v>7148</v>
      </c>
      <c r="E666" s="13" t="s">
        <v>93</v>
      </c>
      <c r="F666" s="13" t="s">
        <v>7245</v>
      </c>
      <c r="G666" s="20" t="str">
        <f>HYPERLINK("https://semena-nn.ru/catalog/33/888000007554","Фото")</f>
        <v>Фото</v>
      </c>
      <c r="H666" s="18">
        <v>95.8</v>
      </c>
      <c r="I666" s="27"/>
      <c r="J666" s="13">
        <f>H666*I666</f>
        <v>0</v>
      </c>
    </row>
    <row r="667" spans="1:10" ht="12" customHeight="1">
      <c r="A667" s="13" t="s">
        <v>7874</v>
      </c>
      <c r="B667" s="13" t="s">
        <v>7875</v>
      </c>
      <c r="C667" s="13" t="s">
        <v>91</v>
      </c>
      <c r="D667" s="13" t="s">
        <v>7728</v>
      </c>
      <c r="E667" s="13" t="s">
        <v>93</v>
      </c>
      <c r="F667" s="13" t="s">
        <v>7876</v>
      </c>
      <c r="G667" s="20" t="str">
        <f>HYPERLINK("http://semena-nn.ru/catalog/33/96901","Фото")</f>
        <v>Фото</v>
      </c>
      <c r="H667" s="18">
        <v>25.5</v>
      </c>
      <c r="I667" s="27"/>
      <c r="J667" s="13">
        <f>H667*I667</f>
        <v>0</v>
      </c>
    </row>
    <row r="668" spans="1:10" ht="12" customHeight="1">
      <c r="A668" s="13" t="s">
        <v>8334</v>
      </c>
      <c r="B668" s="13" t="s">
        <v>8335</v>
      </c>
      <c r="C668" s="13" t="s">
        <v>91</v>
      </c>
      <c r="D668" s="13" t="s">
        <v>8317</v>
      </c>
      <c r="E668" s="13" t="s">
        <v>93</v>
      </c>
      <c r="F668" s="13" t="s">
        <v>8336</v>
      </c>
      <c r="G668" s="20" t="str">
        <f>HYPERLINK("https://semena-nn.ru/catalog/33/999000021428","Фото")</f>
        <v>Фото</v>
      </c>
      <c r="H668" s="18">
        <v>77.2</v>
      </c>
      <c r="I668" s="27"/>
      <c r="J668" s="13">
        <f>H668*I668</f>
        <v>0</v>
      </c>
    </row>
    <row r="669" spans="1:10" ht="12" customHeight="1">
      <c r="A669" s="13" t="s">
        <v>5222</v>
      </c>
      <c r="B669" s="13" t="s">
        <v>5223</v>
      </c>
      <c r="C669" s="13" t="s">
        <v>91</v>
      </c>
      <c r="D669" s="13" t="s">
        <v>5136</v>
      </c>
      <c r="E669" s="13" t="s">
        <v>93</v>
      </c>
      <c r="F669" s="13" t="s">
        <v>5224</v>
      </c>
      <c r="G669" s="20" t="str">
        <f>HYPERLINK("https://semena-nn.ru/catalog/33/888000007812","Фото")</f>
        <v>Фото</v>
      </c>
      <c r="H669" s="18">
        <v>37.5</v>
      </c>
      <c r="I669" s="27"/>
      <c r="J669" s="13">
        <f>H669*I669</f>
        <v>0</v>
      </c>
    </row>
    <row r="670" spans="1:10" ht="12" customHeight="1">
      <c r="A670" s="13" t="s">
        <v>2799</v>
      </c>
      <c r="B670" s="13" t="s">
        <v>2800</v>
      </c>
      <c r="C670" s="13" t="s">
        <v>91</v>
      </c>
      <c r="D670" s="13" t="s">
        <v>697</v>
      </c>
      <c r="E670" s="13" t="s">
        <v>2636</v>
      </c>
      <c r="F670" s="13" t="s">
        <v>2801</v>
      </c>
      <c r="G670" s="20" t="str">
        <f>HYPERLINK("http://semena-nn.ru/catalog/33/1283005","Фото")</f>
        <v>Фото</v>
      </c>
      <c r="H670" s="18">
        <v>14.8</v>
      </c>
      <c r="I670" s="27"/>
      <c r="J670" s="13">
        <f>H670*I670</f>
        <v>0</v>
      </c>
    </row>
    <row r="671" spans="1:10" ht="12" customHeight="1">
      <c r="A671" s="13" t="s">
        <v>3739</v>
      </c>
      <c r="B671" s="13" t="s">
        <v>3740</v>
      </c>
      <c r="C671" s="13" t="s">
        <v>91</v>
      </c>
      <c r="D671" s="13" t="s">
        <v>3475</v>
      </c>
      <c r="E671" s="13" t="s">
        <v>93</v>
      </c>
      <c r="F671" s="13" t="s">
        <v>3741</v>
      </c>
      <c r="G671" s="20" t="str">
        <f>HYPERLINK("http://semena-nn.ru/catalog/33/94584","Фото")</f>
        <v>Фото</v>
      </c>
      <c r="H671" s="15">
        <v>47</v>
      </c>
      <c r="I671" s="27"/>
      <c r="J671" s="13">
        <f>H671*I671</f>
        <v>0</v>
      </c>
    </row>
    <row r="672" spans="1:10" ht="12" customHeight="1">
      <c r="A672" s="13" t="s">
        <v>3742</v>
      </c>
      <c r="B672" s="13" t="s">
        <v>3743</v>
      </c>
      <c r="C672" s="13" t="s">
        <v>91</v>
      </c>
      <c r="D672" s="13" t="s">
        <v>3475</v>
      </c>
      <c r="E672" s="13" t="s">
        <v>93</v>
      </c>
      <c r="F672" s="13" t="s">
        <v>3741</v>
      </c>
      <c r="G672" s="20" t="str">
        <f>HYPERLINK("http://semena-nn.ru/catalog/33/109930","Фото")</f>
        <v>Фото</v>
      </c>
      <c r="H672" s="18">
        <v>79.5</v>
      </c>
      <c r="I672" s="27"/>
      <c r="J672" s="13">
        <f>H672*I672</f>
        <v>0</v>
      </c>
    </row>
    <row r="673" spans="1:10" ht="12" customHeight="1">
      <c r="A673" s="13" t="s">
        <v>6059</v>
      </c>
      <c r="B673" s="13" t="s">
        <v>6060</v>
      </c>
      <c r="C673" s="13" t="s">
        <v>91</v>
      </c>
      <c r="D673" s="13" t="s">
        <v>6021</v>
      </c>
      <c r="E673" s="13" t="s">
        <v>93</v>
      </c>
      <c r="F673" s="13" t="s">
        <v>6061</v>
      </c>
      <c r="G673" s="20" t="str">
        <f>HYPERLINK("http://www.semena-nn.ru/catalog/33/1116588","Фото")</f>
        <v>Фото</v>
      </c>
      <c r="H673" s="19">
        <v>38.65</v>
      </c>
      <c r="I673" s="27"/>
      <c r="J673" s="13">
        <f>H673*I673</f>
        <v>0</v>
      </c>
    </row>
    <row r="674" spans="1:10" ht="12" customHeight="1">
      <c r="A674" s="13" t="s">
        <v>6062</v>
      </c>
      <c r="B674" s="13" t="s">
        <v>6063</v>
      </c>
      <c r="C674" s="13" t="s">
        <v>91</v>
      </c>
      <c r="D674" s="13" t="s">
        <v>6021</v>
      </c>
      <c r="E674" s="13" t="s">
        <v>93</v>
      </c>
      <c r="F674" s="13" t="s">
        <v>6064</v>
      </c>
      <c r="G674" s="20" t="str">
        <f>HYPERLINK("http://www.semena-nn.ru/catalog/33/1287822","Фото")</f>
        <v>Фото</v>
      </c>
      <c r="H674" s="18">
        <v>43.5</v>
      </c>
      <c r="I674" s="27"/>
      <c r="J674" s="13">
        <f>H674*I674</f>
        <v>0</v>
      </c>
    </row>
    <row r="675" spans="1:10" ht="12" customHeight="1">
      <c r="A675" s="13" t="s">
        <v>6489</v>
      </c>
      <c r="B675" s="13" t="s">
        <v>6490</v>
      </c>
      <c r="C675" s="13" t="s">
        <v>91</v>
      </c>
      <c r="D675" s="13" t="s">
        <v>87</v>
      </c>
      <c r="E675" s="13" t="s">
        <v>93</v>
      </c>
      <c r="F675" s="13" t="s">
        <v>6491</v>
      </c>
      <c r="G675" s="20" t="str">
        <f>HYPERLINK("http://www.semena-nn.ru/catalog/33/1310465","Фото")</f>
        <v>Фото</v>
      </c>
      <c r="H675" s="18">
        <v>24.8</v>
      </c>
      <c r="I675" s="27"/>
      <c r="J675" s="13">
        <f>H675*I675</f>
        <v>0</v>
      </c>
    </row>
    <row r="676" spans="1:10" ht="12" customHeight="1">
      <c r="A676" s="13" t="s">
        <v>6065</v>
      </c>
      <c r="B676" s="13" t="s">
        <v>6066</v>
      </c>
      <c r="C676" s="13" t="s">
        <v>91</v>
      </c>
      <c r="D676" s="13" t="s">
        <v>6021</v>
      </c>
      <c r="E676" s="13" t="s">
        <v>93</v>
      </c>
      <c r="F676" s="13" t="s">
        <v>6067</v>
      </c>
      <c r="G676" s="20" t="str">
        <f>HYPERLINK("https://semena-nn.ru/catalog/33/1307515","Фото")</f>
        <v>Фото</v>
      </c>
      <c r="H676" s="19">
        <v>38.65</v>
      </c>
      <c r="I676" s="27"/>
      <c r="J676" s="13">
        <f>H676*I676</f>
        <v>0</v>
      </c>
    </row>
    <row r="677" spans="1:10" ht="12" customHeight="1">
      <c r="A677" s="13" t="s">
        <v>6068</v>
      </c>
      <c r="B677" s="13" t="s">
        <v>6069</v>
      </c>
      <c r="C677" s="13" t="s">
        <v>91</v>
      </c>
      <c r="D677" s="13" t="s">
        <v>6021</v>
      </c>
      <c r="E677" s="13" t="s">
        <v>93</v>
      </c>
      <c r="F677" s="13" t="s">
        <v>6070</v>
      </c>
      <c r="G677" s="20" t="str">
        <f>HYPERLINK("http://www.semena-nn.ru/catalog/33/1102","Фото")</f>
        <v>Фото</v>
      </c>
      <c r="H677" s="18">
        <v>43.5</v>
      </c>
      <c r="I677" s="27"/>
      <c r="J677" s="13">
        <f>H677*I677</f>
        <v>0</v>
      </c>
    </row>
    <row r="678" spans="1:10" ht="12" customHeight="1">
      <c r="A678" s="13" t="s">
        <v>8337</v>
      </c>
      <c r="B678" s="13" t="s">
        <v>8338</v>
      </c>
      <c r="C678" s="13" t="s">
        <v>91</v>
      </c>
      <c r="D678" s="13" t="s">
        <v>8317</v>
      </c>
      <c r="E678" s="13" t="s">
        <v>93</v>
      </c>
      <c r="F678" s="13" t="s">
        <v>8339</v>
      </c>
      <c r="G678" s="20" t="str">
        <f>HYPERLINK("https://semena-nn.ru/catalog/33/999000007678","Фото")</f>
        <v>Фото</v>
      </c>
      <c r="H678" s="19">
        <v>104.75</v>
      </c>
      <c r="I678" s="27"/>
      <c r="J678" s="13">
        <f>H678*I678</f>
        <v>0</v>
      </c>
    </row>
    <row r="679" spans="1:10" ht="12" customHeight="1">
      <c r="A679" s="13" t="s">
        <v>3744</v>
      </c>
      <c r="B679" s="13" t="s">
        <v>3745</v>
      </c>
      <c r="C679" s="13" t="s">
        <v>91</v>
      </c>
      <c r="D679" s="13" t="s">
        <v>3475</v>
      </c>
      <c r="E679" s="13" t="s">
        <v>93</v>
      </c>
      <c r="F679" s="13" t="s">
        <v>3746</v>
      </c>
      <c r="G679" s="20" t="str">
        <f>HYPERLINK("http://semena-nn.ru/catalog/2/33/big_1303864.jpg","Фото")</f>
        <v>Фото</v>
      </c>
      <c r="H679" s="18">
        <v>83.7</v>
      </c>
      <c r="I679" s="27"/>
      <c r="J679" s="13">
        <f>H679*I679</f>
        <v>0</v>
      </c>
    </row>
    <row r="680" spans="1:10" ht="12" customHeight="1">
      <c r="A680" s="13" t="s">
        <v>1183</v>
      </c>
      <c r="B680" s="13" t="s">
        <v>1184</v>
      </c>
      <c r="C680" s="13" t="s">
        <v>91</v>
      </c>
      <c r="D680" s="13" t="s">
        <v>697</v>
      </c>
      <c r="E680" s="13" t="s">
        <v>93</v>
      </c>
      <c r="F680" s="13" t="s">
        <v>1185</v>
      </c>
      <c r="G680" s="20" t="str">
        <f>HYPERLINK("http://semena-nn.ru/catalog/33/1283015","Фото")</f>
        <v>Фото</v>
      </c>
      <c r="H680" s="19">
        <v>39.950000000000003</v>
      </c>
      <c r="I680" s="27"/>
      <c r="J680" s="13">
        <f>H680*I680</f>
        <v>0</v>
      </c>
    </row>
    <row r="681" spans="1:10" ht="12" customHeight="1">
      <c r="A681" s="13" t="s">
        <v>8809</v>
      </c>
      <c r="B681" s="13" t="s">
        <v>8810</v>
      </c>
      <c r="C681" s="13" t="s">
        <v>91</v>
      </c>
      <c r="D681" s="13" t="s">
        <v>8717</v>
      </c>
      <c r="E681" s="13" t="s">
        <v>93</v>
      </c>
      <c r="F681" s="13" t="s">
        <v>8811</v>
      </c>
      <c r="G681" s="20" t="str">
        <f>HYPERLINK("http://semena-nn.ru/catalog/33/1312500","Фото")</f>
        <v>Фото</v>
      </c>
      <c r="H681" s="18">
        <v>76.099999999999994</v>
      </c>
      <c r="I681" s="27"/>
      <c r="J681" s="13">
        <f>H681*I681</f>
        <v>0</v>
      </c>
    </row>
    <row r="682" spans="1:10" ht="12" customHeight="1">
      <c r="A682" s="13" t="s">
        <v>6071</v>
      </c>
      <c r="B682" s="13" t="s">
        <v>6072</v>
      </c>
      <c r="C682" s="13" t="s">
        <v>91</v>
      </c>
      <c r="D682" s="13" t="s">
        <v>6021</v>
      </c>
      <c r="E682" s="13" t="s">
        <v>93</v>
      </c>
      <c r="F682" s="13" t="s">
        <v>6073</v>
      </c>
      <c r="G682" s="20" t="str">
        <f>HYPERLINK("http://semena-nn.ru/catalog/33/80084","Фото")</f>
        <v>Фото</v>
      </c>
      <c r="H682" s="18">
        <v>42.3</v>
      </c>
      <c r="I682" s="27"/>
      <c r="J682" s="13">
        <f>H682*I682</f>
        <v>0</v>
      </c>
    </row>
    <row r="683" spans="1:10" ht="12" customHeight="1">
      <c r="A683" s="13" t="s">
        <v>1186</v>
      </c>
      <c r="B683" s="13" t="s">
        <v>1187</v>
      </c>
      <c r="C683" s="13" t="s">
        <v>91</v>
      </c>
      <c r="D683" s="13" t="s">
        <v>697</v>
      </c>
      <c r="E683" s="13" t="s">
        <v>93</v>
      </c>
      <c r="F683" s="13" t="s">
        <v>1188</v>
      </c>
      <c r="G683" s="20" t="str">
        <f>HYPERLINK("https://semena-nn.ru/catalog/33/999000020232","Фото")</f>
        <v>Фото</v>
      </c>
      <c r="H683" s="18">
        <v>66.3</v>
      </c>
      <c r="I683" s="27"/>
      <c r="J683" s="13">
        <f>H683*I683</f>
        <v>0</v>
      </c>
    </row>
    <row r="684" spans="1:10" ht="12" customHeight="1">
      <c r="A684" s="13" t="s">
        <v>1189</v>
      </c>
      <c r="B684" s="13" t="s">
        <v>1190</v>
      </c>
      <c r="C684" s="13" t="s">
        <v>91</v>
      </c>
      <c r="D684" s="13" t="s">
        <v>697</v>
      </c>
      <c r="E684" s="13" t="s">
        <v>93</v>
      </c>
      <c r="F684" s="13" t="s">
        <v>1191</v>
      </c>
      <c r="G684" s="20" t="str">
        <f>HYPERLINK("http://semena-nn.ru/catalog/2/33/big_1283357.jpg","Фото")</f>
        <v>Фото</v>
      </c>
      <c r="H684" s="19">
        <v>39.950000000000003</v>
      </c>
      <c r="I684" s="27"/>
      <c r="J684" s="13">
        <f>H684*I684</f>
        <v>0</v>
      </c>
    </row>
    <row r="685" spans="1:10" ht="12" customHeight="1">
      <c r="A685" s="13" t="s">
        <v>3747</v>
      </c>
      <c r="B685" s="13" t="s">
        <v>3748</v>
      </c>
      <c r="C685" s="13" t="s">
        <v>91</v>
      </c>
      <c r="D685" s="13" t="s">
        <v>3475</v>
      </c>
      <c r="E685" s="13" t="s">
        <v>93</v>
      </c>
      <c r="F685" s="13" t="s">
        <v>3749</v>
      </c>
      <c r="G685" s="20" t="str">
        <f>HYPERLINK("http://www.semena-nn.ru/catalog/33/1290205","Фото")</f>
        <v>Фото</v>
      </c>
      <c r="H685" s="18">
        <v>45.9</v>
      </c>
      <c r="I685" s="27"/>
      <c r="J685" s="13">
        <f>H685*I685</f>
        <v>0</v>
      </c>
    </row>
    <row r="686" spans="1:10" ht="12" customHeight="1">
      <c r="A686" s="13" t="s">
        <v>1192</v>
      </c>
      <c r="B686" s="13" t="s">
        <v>1193</v>
      </c>
      <c r="C686" s="13" t="s">
        <v>91</v>
      </c>
      <c r="D686" s="13" t="s">
        <v>697</v>
      </c>
      <c r="E686" s="13" t="s">
        <v>93</v>
      </c>
      <c r="F686" s="13" t="s">
        <v>1194</v>
      </c>
      <c r="G686" s="20" t="str">
        <f>HYPERLINK("http://semena-nn.ru/catalog/33/112482","Фото")</f>
        <v>Фото</v>
      </c>
      <c r="H686" s="19">
        <v>36.35</v>
      </c>
      <c r="I686" s="27"/>
      <c r="J686" s="13">
        <f>H686*I686</f>
        <v>0</v>
      </c>
    </row>
    <row r="687" spans="1:10" ht="12" customHeight="1">
      <c r="A687" s="13" t="s">
        <v>1195</v>
      </c>
      <c r="B687" s="13" t="s">
        <v>1196</v>
      </c>
      <c r="C687" s="13" t="s">
        <v>91</v>
      </c>
      <c r="D687" s="13" t="s">
        <v>697</v>
      </c>
      <c r="E687" s="13" t="s">
        <v>93</v>
      </c>
      <c r="F687" s="13" t="s">
        <v>1197</v>
      </c>
      <c r="G687" s="20" t="str">
        <f>HYPERLINK("http://semena-nn.ru/catalog/2/33/big_1126477.jpg","Фото")</f>
        <v>Фото</v>
      </c>
      <c r="H687" s="18">
        <v>32.700000000000003</v>
      </c>
      <c r="I687" s="27"/>
      <c r="J687" s="13">
        <f>H687*I687</f>
        <v>0</v>
      </c>
    </row>
    <row r="688" spans="1:10" ht="12" customHeight="1">
      <c r="A688" s="13" t="s">
        <v>7877</v>
      </c>
      <c r="B688" s="13" t="s">
        <v>7878</v>
      </c>
      <c r="C688" s="13" t="s">
        <v>91</v>
      </c>
      <c r="D688" s="13" t="s">
        <v>7728</v>
      </c>
      <c r="E688" s="13" t="s">
        <v>93</v>
      </c>
      <c r="F688" s="13" t="s">
        <v>7879</v>
      </c>
      <c r="G688" s="20" t="str">
        <f>HYPERLINK("http://www.semena-nn.ru/catalog/33/101157","Фото")</f>
        <v>Фото</v>
      </c>
      <c r="H688" s="19">
        <v>55.65</v>
      </c>
      <c r="I688" s="27"/>
      <c r="J688" s="13">
        <f>H688*I688</f>
        <v>0</v>
      </c>
    </row>
    <row r="689" spans="1:10" ht="12" customHeight="1">
      <c r="A689" s="13" t="s">
        <v>6980</v>
      </c>
      <c r="B689" s="13" t="s">
        <v>6981</v>
      </c>
      <c r="C689" s="13" t="s">
        <v>91</v>
      </c>
      <c r="D689" s="13" t="s">
        <v>6927</v>
      </c>
      <c r="E689" s="13" t="s">
        <v>93</v>
      </c>
      <c r="F689" s="13" t="s">
        <v>6982</v>
      </c>
      <c r="G689" s="20" t="str">
        <f>HYPERLINK("https://semena-nn.ru/catalog/33/999000013281","Фото")</f>
        <v>Фото</v>
      </c>
      <c r="H689" s="18">
        <v>77.099999999999994</v>
      </c>
      <c r="I689" s="27"/>
      <c r="J689" s="13">
        <f>H689*I689</f>
        <v>0</v>
      </c>
    </row>
    <row r="690" spans="1:10" ht="12" customHeight="1">
      <c r="A690" s="13" t="s">
        <v>6074</v>
      </c>
      <c r="B690" s="13" t="s">
        <v>6075</v>
      </c>
      <c r="C690" s="13" t="s">
        <v>91</v>
      </c>
      <c r="D690" s="13" t="s">
        <v>6021</v>
      </c>
      <c r="E690" s="13" t="s">
        <v>93</v>
      </c>
      <c r="F690" s="13" t="s">
        <v>6076</v>
      </c>
      <c r="G690" s="20" t="str">
        <f>HYPERLINK("http://www.semena-nn.ru/catalog/33/80872","Фото")</f>
        <v>Фото</v>
      </c>
      <c r="H690" s="18">
        <v>41.1</v>
      </c>
      <c r="I690" s="27"/>
      <c r="J690" s="13">
        <f>H690*I690</f>
        <v>0</v>
      </c>
    </row>
    <row r="691" spans="1:10" ht="12" customHeight="1">
      <c r="A691" s="13" t="s">
        <v>1198</v>
      </c>
      <c r="B691" s="13" t="s">
        <v>1199</v>
      </c>
      <c r="C691" s="13" t="s">
        <v>91</v>
      </c>
      <c r="D691" s="13" t="s">
        <v>697</v>
      </c>
      <c r="E691" s="13" t="s">
        <v>93</v>
      </c>
      <c r="F691" s="13" t="s">
        <v>1200</v>
      </c>
      <c r="G691" s="20" t="str">
        <f>HYPERLINK("http://semena-nn.ru/catalog/33/999000006716","Фото")</f>
        <v>Фото</v>
      </c>
      <c r="H691" s="18">
        <v>68.2</v>
      </c>
      <c r="I691" s="27"/>
      <c r="J691" s="13">
        <f>H691*I691</f>
        <v>0</v>
      </c>
    </row>
    <row r="692" spans="1:10" ht="12" customHeight="1">
      <c r="A692" s="13" t="s">
        <v>1201</v>
      </c>
      <c r="B692" s="13" t="s">
        <v>1202</v>
      </c>
      <c r="C692" s="13" t="s">
        <v>91</v>
      </c>
      <c r="D692" s="13" t="s">
        <v>697</v>
      </c>
      <c r="E692" s="13" t="s">
        <v>93</v>
      </c>
      <c r="F692" s="13" t="s">
        <v>1203</v>
      </c>
      <c r="G692" s="20" t="str">
        <f>HYPERLINK("https://semena-nn.ru/catalog/33/1282821","Фото")</f>
        <v>Фото</v>
      </c>
      <c r="H692" s="18">
        <v>33.6</v>
      </c>
      <c r="I692" s="27"/>
      <c r="J692" s="13">
        <f>H692*I692</f>
        <v>0</v>
      </c>
    </row>
    <row r="693" spans="1:10" ht="12" customHeight="1">
      <c r="A693" s="13" t="s">
        <v>1204</v>
      </c>
      <c r="B693" s="13" t="s">
        <v>1205</v>
      </c>
      <c r="C693" s="13" t="s">
        <v>91</v>
      </c>
      <c r="D693" s="13" t="s">
        <v>697</v>
      </c>
      <c r="E693" s="13" t="s">
        <v>93</v>
      </c>
      <c r="F693" s="13" t="s">
        <v>1206</v>
      </c>
      <c r="G693" s="20" t="str">
        <f>HYPERLINK("http://semena-nn.ru/catalog/33/111269","Фото")</f>
        <v>Фото</v>
      </c>
      <c r="H693" s="19">
        <v>36.35</v>
      </c>
      <c r="I693" s="27"/>
      <c r="J693" s="13">
        <f>H693*I693</f>
        <v>0</v>
      </c>
    </row>
    <row r="694" spans="1:10" ht="12" customHeight="1">
      <c r="A694" s="13" t="s">
        <v>101</v>
      </c>
      <c r="B694" s="13" t="s">
        <v>102</v>
      </c>
      <c r="C694" s="13" t="s">
        <v>91</v>
      </c>
      <c r="D694" s="13" t="s">
        <v>92</v>
      </c>
      <c r="E694" s="13" t="s">
        <v>93</v>
      </c>
      <c r="F694" s="13" t="s">
        <v>103</v>
      </c>
      <c r="G694" s="20" t="str">
        <f>HYPERLINK("https://semena-nn.ru/catalog/33/888000000209","Фото")</f>
        <v>Фото</v>
      </c>
      <c r="H694" s="19">
        <v>68.25</v>
      </c>
      <c r="I694" s="27"/>
      <c r="J694" s="13">
        <f>H694*I694</f>
        <v>0</v>
      </c>
    </row>
    <row r="695" spans="1:10" ht="12" customHeight="1">
      <c r="A695" s="13" t="s">
        <v>6077</v>
      </c>
      <c r="B695" s="13" t="s">
        <v>6078</v>
      </c>
      <c r="C695" s="13" t="s">
        <v>91</v>
      </c>
      <c r="D695" s="13" t="s">
        <v>6021</v>
      </c>
      <c r="E695" s="13" t="s">
        <v>93</v>
      </c>
      <c r="F695" s="13" t="s">
        <v>6079</v>
      </c>
      <c r="G695" s="20" t="str">
        <f>HYPERLINK("http://semena-nn.ru/catalog/33/999000004084","Фото")</f>
        <v>Фото</v>
      </c>
      <c r="H695" s="18">
        <v>47.1</v>
      </c>
      <c r="I695" s="27"/>
      <c r="J695" s="13">
        <f>H695*I695</f>
        <v>0</v>
      </c>
    </row>
    <row r="696" spans="1:10" ht="12" customHeight="1">
      <c r="A696" s="13" t="s">
        <v>3750</v>
      </c>
      <c r="B696" s="13" t="s">
        <v>3751</v>
      </c>
      <c r="C696" s="13" t="s">
        <v>91</v>
      </c>
      <c r="D696" s="13" t="s">
        <v>3475</v>
      </c>
      <c r="E696" s="13" t="s">
        <v>93</v>
      </c>
      <c r="F696" s="13" t="s">
        <v>3752</v>
      </c>
      <c r="G696" s="20" t="str">
        <f>HYPERLINK("http://semena-nn.ru/catalog/2/33/big_105181.jpg","Фото")</f>
        <v>Фото</v>
      </c>
      <c r="H696" s="18">
        <v>37.6</v>
      </c>
      <c r="I696" s="27"/>
      <c r="J696" s="13">
        <f>H696*I696</f>
        <v>0</v>
      </c>
    </row>
    <row r="697" spans="1:10" ht="12" customHeight="1">
      <c r="A697" s="13" t="s">
        <v>6080</v>
      </c>
      <c r="B697" s="13" t="s">
        <v>6081</v>
      </c>
      <c r="C697" s="13" t="s">
        <v>91</v>
      </c>
      <c r="D697" s="13" t="s">
        <v>6021</v>
      </c>
      <c r="E697" s="13" t="s">
        <v>93</v>
      </c>
      <c r="F697" s="13" t="s">
        <v>6082</v>
      </c>
      <c r="G697" s="20" t="str">
        <f>HYPERLINK("http://semena-nn.ru/catalog/33/1781","Фото")</f>
        <v>Фото</v>
      </c>
      <c r="H697" s="18">
        <v>47.1</v>
      </c>
      <c r="I697" s="27"/>
      <c r="J697" s="13">
        <f>H697*I697</f>
        <v>0</v>
      </c>
    </row>
    <row r="698" spans="1:10" ht="12" customHeight="1">
      <c r="A698" s="13" t="s">
        <v>1207</v>
      </c>
      <c r="B698" s="13" t="s">
        <v>1208</v>
      </c>
      <c r="C698" s="13" t="s">
        <v>91</v>
      </c>
      <c r="D698" s="13" t="s">
        <v>697</v>
      </c>
      <c r="E698" s="13" t="s">
        <v>93</v>
      </c>
      <c r="F698" s="13" t="s">
        <v>1209</v>
      </c>
      <c r="G698" s="20" t="str">
        <f>HYPERLINK("http://www.semena-nn.ru/catalog/33/1310663","Фото")</f>
        <v>Фото</v>
      </c>
      <c r="H698" s="19">
        <v>36.35</v>
      </c>
      <c r="I698" s="27"/>
      <c r="J698" s="13">
        <f>H698*I698</f>
        <v>0</v>
      </c>
    </row>
    <row r="699" spans="1:10" ht="12" customHeight="1">
      <c r="A699" s="13" t="s">
        <v>1210</v>
      </c>
      <c r="B699" s="13" t="s">
        <v>1211</v>
      </c>
      <c r="C699" s="13" t="s">
        <v>91</v>
      </c>
      <c r="D699" s="13" t="s">
        <v>697</v>
      </c>
      <c r="E699" s="13" t="s">
        <v>93</v>
      </c>
      <c r="F699" s="13" t="s">
        <v>1212</v>
      </c>
      <c r="G699" s="20" t="str">
        <f>HYPERLINK("http://semena-nn.ru/catalog/33/1309181","Фото")</f>
        <v>Фото</v>
      </c>
      <c r="H699" s="19">
        <v>39.950000000000003</v>
      </c>
      <c r="I699" s="27"/>
      <c r="J699" s="13">
        <f>H699*I699</f>
        <v>0</v>
      </c>
    </row>
    <row r="700" spans="1:10" ht="12" customHeight="1">
      <c r="A700" s="13" t="s">
        <v>8812</v>
      </c>
      <c r="B700" s="13" t="s">
        <v>8813</v>
      </c>
      <c r="C700" s="13" t="s">
        <v>91</v>
      </c>
      <c r="D700" s="13" t="s">
        <v>8717</v>
      </c>
      <c r="E700" s="13" t="s">
        <v>93</v>
      </c>
      <c r="F700" s="13" t="s">
        <v>8814</v>
      </c>
      <c r="G700" s="20" t="str">
        <f>HYPERLINK("http://semena-nn.ru/catalog/33/1307653","Фото")</f>
        <v>Фото</v>
      </c>
      <c r="H700" s="18">
        <v>97.3</v>
      </c>
      <c r="I700" s="27"/>
      <c r="J700" s="13">
        <f>H700*I700</f>
        <v>0</v>
      </c>
    </row>
    <row r="701" spans="1:10" ht="12" customHeight="1">
      <c r="A701" s="13" t="s">
        <v>1213</v>
      </c>
      <c r="B701" s="13" t="s">
        <v>1214</v>
      </c>
      <c r="C701" s="13" t="s">
        <v>91</v>
      </c>
      <c r="D701" s="13" t="s">
        <v>697</v>
      </c>
      <c r="E701" s="13" t="s">
        <v>93</v>
      </c>
      <c r="F701" s="13" t="s">
        <v>1215</v>
      </c>
      <c r="G701" s="20" t="str">
        <f>HYPERLINK("https://semena-nn.ru/catalog/33/111439","Фото")</f>
        <v>Фото</v>
      </c>
      <c r="H701" s="18">
        <v>33.9</v>
      </c>
      <c r="I701" s="27"/>
      <c r="J701" s="13">
        <f>H701*I701</f>
        <v>0</v>
      </c>
    </row>
    <row r="702" spans="1:10" ht="12" customHeight="1">
      <c r="A702" s="13" t="s">
        <v>3753</v>
      </c>
      <c r="B702" s="13" t="s">
        <v>3754</v>
      </c>
      <c r="C702" s="13" t="s">
        <v>91</v>
      </c>
      <c r="D702" s="13" t="s">
        <v>3475</v>
      </c>
      <c r="E702" s="13" t="s">
        <v>93</v>
      </c>
      <c r="F702" s="13" t="s">
        <v>3755</v>
      </c>
      <c r="G702" s="20" t="str">
        <f>HYPERLINK("http://semena-nn.ru/catalog/33/1123215","Фото")</f>
        <v>Фото</v>
      </c>
      <c r="H702" s="18">
        <v>18.7</v>
      </c>
      <c r="I702" s="27"/>
      <c r="J702" s="13">
        <f>H702*I702</f>
        <v>0</v>
      </c>
    </row>
    <row r="703" spans="1:10" ht="12" customHeight="1">
      <c r="A703" s="13" t="s">
        <v>1216</v>
      </c>
      <c r="B703" s="13" t="s">
        <v>1217</v>
      </c>
      <c r="C703" s="13" t="s">
        <v>91</v>
      </c>
      <c r="D703" s="13" t="s">
        <v>697</v>
      </c>
      <c r="E703" s="13" t="s">
        <v>93</v>
      </c>
      <c r="F703" s="13" t="s">
        <v>1218</v>
      </c>
      <c r="G703" s="20" t="str">
        <f>HYPERLINK("https://semena-nn.ru/catalog/33/1290965","Фото")</f>
        <v>Фото</v>
      </c>
      <c r="H703" s="18">
        <v>20.6</v>
      </c>
      <c r="I703" s="27"/>
      <c r="J703" s="13">
        <f>H703*I703</f>
        <v>0</v>
      </c>
    </row>
    <row r="704" spans="1:10" ht="12" customHeight="1">
      <c r="A704" s="13" t="s">
        <v>104</v>
      </c>
      <c r="B704" s="13" t="s">
        <v>105</v>
      </c>
      <c r="C704" s="13" t="s">
        <v>91</v>
      </c>
      <c r="D704" s="13" t="s">
        <v>92</v>
      </c>
      <c r="E704" s="13" t="s">
        <v>93</v>
      </c>
      <c r="F704" s="13" t="s">
        <v>106</v>
      </c>
      <c r="G704" s="20" t="str">
        <f>HYPERLINK("http://www.semena-nn.ru/catalog/33/1304761","Фото")</f>
        <v>Фото</v>
      </c>
      <c r="H704" s="18">
        <v>72.8</v>
      </c>
      <c r="I704" s="27"/>
      <c r="J704" s="13">
        <f>H704*I704</f>
        <v>0</v>
      </c>
    </row>
    <row r="705" spans="1:10" ht="12" customHeight="1">
      <c r="A705" s="13" t="s">
        <v>5225</v>
      </c>
      <c r="B705" s="13" t="s">
        <v>5226</v>
      </c>
      <c r="C705" s="13" t="s">
        <v>91</v>
      </c>
      <c r="D705" s="13" t="s">
        <v>5136</v>
      </c>
      <c r="E705" s="13" t="s">
        <v>93</v>
      </c>
      <c r="F705" s="13" t="s">
        <v>5227</v>
      </c>
      <c r="G705" s="20" t="str">
        <f>HYPERLINK("https://semena-nn.ru/catalog/33/888000007814","Фото")</f>
        <v>Фото</v>
      </c>
      <c r="H705" s="18">
        <v>93.5</v>
      </c>
      <c r="I705" s="27"/>
      <c r="J705" s="13">
        <f>H705*I705</f>
        <v>0</v>
      </c>
    </row>
    <row r="706" spans="1:10" ht="12" customHeight="1">
      <c r="A706" s="13" t="s">
        <v>3756</v>
      </c>
      <c r="B706" s="13" t="s">
        <v>3757</v>
      </c>
      <c r="C706" s="13" t="s">
        <v>91</v>
      </c>
      <c r="D706" s="13" t="s">
        <v>3475</v>
      </c>
      <c r="E706" s="13" t="s">
        <v>93</v>
      </c>
      <c r="F706" s="13" t="s">
        <v>3758</v>
      </c>
      <c r="G706" s="20" t="str">
        <f>HYPERLINK("http://semena-nn.ru/catalog/33/999000000615","Фото")</f>
        <v>Фото</v>
      </c>
      <c r="H706" s="18">
        <v>27.7</v>
      </c>
      <c r="I706" s="27"/>
      <c r="J706" s="13">
        <f>H706*I706</f>
        <v>0</v>
      </c>
    </row>
    <row r="707" spans="1:10" ht="12" customHeight="1">
      <c r="A707" s="13" t="s">
        <v>8815</v>
      </c>
      <c r="B707" s="13" t="s">
        <v>8816</v>
      </c>
      <c r="C707" s="13" t="s">
        <v>91</v>
      </c>
      <c r="D707" s="13" t="s">
        <v>8717</v>
      </c>
      <c r="E707" s="13" t="s">
        <v>93</v>
      </c>
      <c r="F707" s="13" t="s">
        <v>8817</v>
      </c>
      <c r="G707" s="20" t="str">
        <f>HYPERLINK("http://semena-nn.ru/catalog/33/1312501","Фото")</f>
        <v>Фото</v>
      </c>
      <c r="H707" s="18">
        <v>97.3</v>
      </c>
      <c r="I707" s="27"/>
      <c r="J707" s="13">
        <f>H707*I707</f>
        <v>0</v>
      </c>
    </row>
    <row r="708" spans="1:10" ht="12" customHeight="1">
      <c r="A708" s="13" t="s">
        <v>6083</v>
      </c>
      <c r="B708" s="13" t="s">
        <v>6084</v>
      </c>
      <c r="C708" s="13" t="s">
        <v>91</v>
      </c>
      <c r="D708" s="13" t="s">
        <v>6021</v>
      </c>
      <c r="E708" s="13" t="s">
        <v>93</v>
      </c>
      <c r="F708" s="13" t="s">
        <v>6085</v>
      </c>
      <c r="G708" s="20" t="str">
        <f>HYPERLINK("http://www.semena-nn.ru/catalog/33/92726","Фото")</f>
        <v>Фото</v>
      </c>
      <c r="H708" s="18">
        <v>41.1</v>
      </c>
      <c r="I708" s="27"/>
      <c r="J708" s="13">
        <f>H708*I708</f>
        <v>0</v>
      </c>
    </row>
    <row r="709" spans="1:10" ht="12" customHeight="1">
      <c r="A709" s="13" t="s">
        <v>3759</v>
      </c>
      <c r="B709" s="13" t="s">
        <v>3760</v>
      </c>
      <c r="C709" s="13" t="s">
        <v>91</v>
      </c>
      <c r="D709" s="13" t="s">
        <v>3475</v>
      </c>
      <c r="E709" s="13" t="s">
        <v>93</v>
      </c>
      <c r="F709" s="13" t="s">
        <v>3761</v>
      </c>
      <c r="G709" s="20" t="str">
        <f>HYPERLINK("http://semena-nn.ru/catalog/2/33/big_1282348.jpg","Фото")</f>
        <v>Фото</v>
      </c>
      <c r="H709" s="18">
        <v>37.6</v>
      </c>
      <c r="I709" s="27"/>
      <c r="J709" s="13">
        <f>H709*I709</f>
        <v>0</v>
      </c>
    </row>
    <row r="710" spans="1:10" ht="12" customHeight="1">
      <c r="A710" s="13" t="s">
        <v>3762</v>
      </c>
      <c r="B710" s="13" t="s">
        <v>3763</v>
      </c>
      <c r="C710" s="13" t="s">
        <v>91</v>
      </c>
      <c r="D710" s="13" t="s">
        <v>3475</v>
      </c>
      <c r="E710" s="13" t="s">
        <v>93</v>
      </c>
      <c r="F710" s="13" t="s">
        <v>3764</v>
      </c>
      <c r="G710" s="20" t="str">
        <f>HYPERLINK("http://semena-nn.ru/catalog/33/1282349","Фото")</f>
        <v>Фото</v>
      </c>
      <c r="H710" s="18">
        <v>83.7</v>
      </c>
      <c r="I710" s="27"/>
      <c r="J710" s="13">
        <f>H710*I710</f>
        <v>0</v>
      </c>
    </row>
    <row r="711" spans="1:10" ht="12" customHeight="1">
      <c r="A711" s="13" t="s">
        <v>6983</v>
      </c>
      <c r="B711" s="13" t="s">
        <v>6984</v>
      </c>
      <c r="C711" s="13" t="s">
        <v>91</v>
      </c>
      <c r="D711" s="13" t="s">
        <v>6927</v>
      </c>
      <c r="E711" s="13" t="s">
        <v>93</v>
      </c>
      <c r="F711" s="13" t="s">
        <v>6985</v>
      </c>
      <c r="G711" s="20" t="str">
        <f>HYPERLINK("http://semena-nn.ru/catalog/33/1310396","Фото")</f>
        <v>Фото</v>
      </c>
      <c r="H711" s="19">
        <v>42.95</v>
      </c>
      <c r="I711" s="27"/>
      <c r="J711" s="13">
        <f>H711*I711</f>
        <v>0</v>
      </c>
    </row>
    <row r="712" spans="1:10" ht="12" customHeight="1">
      <c r="A712" s="13" t="s">
        <v>7246</v>
      </c>
      <c r="B712" s="13" t="s">
        <v>7247</v>
      </c>
      <c r="C712" s="13" t="s">
        <v>91</v>
      </c>
      <c r="D712" s="13" t="s">
        <v>7148</v>
      </c>
      <c r="E712" s="13" t="s">
        <v>93</v>
      </c>
      <c r="F712" s="13" t="s">
        <v>7248</v>
      </c>
      <c r="G712" s="20" t="str">
        <f>HYPERLINK("https://semena-nn.ru/catalog/33/888000000845","Фото")</f>
        <v>Фото</v>
      </c>
      <c r="H712" s="18">
        <v>89.5</v>
      </c>
      <c r="I712" s="27"/>
      <c r="J712" s="13">
        <f>H712*I712</f>
        <v>0</v>
      </c>
    </row>
    <row r="713" spans="1:10" ht="12" customHeight="1">
      <c r="A713" s="13" t="s">
        <v>3765</v>
      </c>
      <c r="B713" s="13" t="s">
        <v>3766</v>
      </c>
      <c r="C713" s="13" t="s">
        <v>91</v>
      </c>
      <c r="D713" s="13" t="s">
        <v>3475</v>
      </c>
      <c r="E713" s="13" t="s">
        <v>93</v>
      </c>
      <c r="F713" s="13" t="s">
        <v>3767</v>
      </c>
      <c r="G713" s="20" t="str">
        <f>HYPERLINK("https://semena-nn.ru/catalog/33/999000009358","Фото")</f>
        <v>Фото</v>
      </c>
      <c r="H713" s="18">
        <v>70.599999999999994</v>
      </c>
      <c r="I713" s="27"/>
      <c r="J713" s="13">
        <f>H713*I713</f>
        <v>0</v>
      </c>
    </row>
    <row r="714" spans="1:10" ht="12" customHeight="1">
      <c r="A714" s="13" t="s">
        <v>6086</v>
      </c>
      <c r="B714" s="13" t="s">
        <v>6087</v>
      </c>
      <c r="C714" s="13" t="s">
        <v>91</v>
      </c>
      <c r="D714" s="13" t="s">
        <v>6021</v>
      </c>
      <c r="E714" s="13" t="s">
        <v>93</v>
      </c>
      <c r="F714" s="13" t="s">
        <v>6088</v>
      </c>
      <c r="G714" s="20" t="str">
        <f>HYPERLINK("http://semena-nn.ru/catalog/33/1287823","Фото")</f>
        <v>Фото</v>
      </c>
      <c r="H714" s="18">
        <v>45.9</v>
      </c>
      <c r="I714" s="27"/>
      <c r="J714" s="13">
        <f>H714*I714</f>
        <v>0</v>
      </c>
    </row>
    <row r="715" spans="1:10" ht="12" customHeight="1">
      <c r="A715" s="13" t="s">
        <v>7249</v>
      </c>
      <c r="B715" s="13" t="s">
        <v>7250</v>
      </c>
      <c r="C715" s="13" t="s">
        <v>91</v>
      </c>
      <c r="D715" s="13" t="s">
        <v>7148</v>
      </c>
      <c r="E715" s="13" t="s">
        <v>93</v>
      </c>
      <c r="F715" s="13" t="s">
        <v>7251</v>
      </c>
      <c r="G715" s="20" t="str">
        <f>HYPERLINK("https://semena-nn.ru/catalog/33/888000007694","Фото")</f>
        <v>Фото</v>
      </c>
      <c r="H715" s="18">
        <v>75.599999999999994</v>
      </c>
      <c r="I715" s="27"/>
      <c r="J715" s="13">
        <f>H715*I715</f>
        <v>0</v>
      </c>
    </row>
    <row r="716" spans="1:10" ht="12" customHeight="1">
      <c r="A716" s="13" t="s">
        <v>1219</v>
      </c>
      <c r="B716" s="13" t="s">
        <v>1220</v>
      </c>
      <c r="C716" s="13" t="s">
        <v>91</v>
      </c>
      <c r="D716" s="13" t="s">
        <v>697</v>
      </c>
      <c r="E716" s="13" t="s">
        <v>93</v>
      </c>
      <c r="F716" s="13" t="s">
        <v>1221</v>
      </c>
      <c r="G716" s="20" t="str">
        <f>HYPERLINK("https://semena-nn.ru/catalog/33/888000007807","Фото")</f>
        <v>Фото</v>
      </c>
      <c r="H716" s="18">
        <v>55.6</v>
      </c>
      <c r="I716" s="27"/>
      <c r="J716" s="13">
        <f>H716*I716</f>
        <v>0</v>
      </c>
    </row>
    <row r="717" spans="1:10" ht="12" customHeight="1">
      <c r="A717" s="13" t="s">
        <v>5228</v>
      </c>
      <c r="B717" s="13" t="s">
        <v>5229</v>
      </c>
      <c r="C717" s="13" t="s">
        <v>91</v>
      </c>
      <c r="D717" s="13" t="s">
        <v>5136</v>
      </c>
      <c r="E717" s="13" t="s">
        <v>93</v>
      </c>
      <c r="F717" s="13" t="s">
        <v>5230</v>
      </c>
      <c r="G717" s="20" t="str">
        <f>HYPERLINK("https://semena-nn.ru/catalog/33/888000007815","Фото")</f>
        <v>Фото</v>
      </c>
      <c r="H717" s="18">
        <v>42.5</v>
      </c>
      <c r="I717" s="27"/>
      <c r="J717" s="13">
        <f>H717*I717</f>
        <v>0</v>
      </c>
    </row>
    <row r="718" spans="1:10" ht="12" customHeight="1">
      <c r="A718" s="13" t="s">
        <v>3215</v>
      </c>
      <c r="B718" s="13" t="s">
        <v>3216</v>
      </c>
      <c r="C718" s="13" t="s">
        <v>91</v>
      </c>
      <c r="D718" s="13" t="s">
        <v>697</v>
      </c>
      <c r="E718" s="13" t="s">
        <v>3064</v>
      </c>
      <c r="F718" s="13" t="s">
        <v>3217</v>
      </c>
      <c r="G718" s="20" t="str">
        <f>HYPERLINK("https://semena-nn.ru/catalog/33/1289856","Фото")</f>
        <v>Фото</v>
      </c>
      <c r="H718" s="19">
        <v>12.05</v>
      </c>
      <c r="I718" s="27"/>
      <c r="J718" s="13">
        <f>H718*I718</f>
        <v>0</v>
      </c>
    </row>
    <row r="719" spans="1:10" ht="12" customHeight="1">
      <c r="A719" s="13" t="s">
        <v>6089</v>
      </c>
      <c r="B719" s="13" t="s">
        <v>6090</v>
      </c>
      <c r="C719" s="13" t="s">
        <v>91</v>
      </c>
      <c r="D719" s="13" t="s">
        <v>6021</v>
      </c>
      <c r="E719" s="13" t="s">
        <v>93</v>
      </c>
      <c r="F719" s="13" t="s">
        <v>6091</v>
      </c>
      <c r="G719" s="20" t="str">
        <f>HYPERLINK("http://www.semena-nn.ru/catalog/33/94417","Фото")</f>
        <v>Фото</v>
      </c>
      <c r="H719" s="18">
        <v>41.1</v>
      </c>
      <c r="I719" s="27"/>
      <c r="J719" s="13">
        <f>H719*I719</f>
        <v>0</v>
      </c>
    </row>
    <row r="720" spans="1:10" ht="12" customHeight="1">
      <c r="A720" s="13" t="s">
        <v>1222</v>
      </c>
      <c r="B720" s="13" t="s">
        <v>1223</v>
      </c>
      <c r="C720" s="13" t="s">
        <v>91</v>
      </c>
      <c r="D720" s="13" t="s">
        <v>697</v>
      </c>
      <c r="E720" s="13" t="s">
        <v>93</v>
      </c>
      <c r="F720" s="13" t="s">
        <v>1224</v>
      </c>
      <c r="G720" s="20" t="str">
        <f>HYPERLINK("http://semena-nn.ru/catalog/33/1282386","Фото")</f>
        <v>Фото</v>
      </c>
      <c r="H720" s="19">
        <v>36.35</v>
      </c>
      <c r="I720" s="27"/>
      <c r="J720" s="13">
        <f>H720*I720</f>
        <v>0</v>
      </c>
    </row>
    <row r="721" spans="1:10" ht="12" customHeight="1">
      <c r="A721" s="13" t="s">
        <v>1225</v>
      </c>
      <c r="B721" s="13" t="s">
        <v>1226</v>
      </c>
      <c r="C721" s="13" t="s">
        <v>91</v>
      </c>
      <c r="D721" s="13" t="s">
        <v>697</v>
      </c>
      <c r="E721" s="13" t="s">
        <v>93</v>
      </c>
      <c r="F721" s="13" t="s">
        <v>1227</v>
      </c>
      <c r="G721" s="20" t="str">
        <f>HYPERLINK("https://semena-nn.ru/catalog/33/1289877","Фото")</f>
        <v>Фото</v>
      </c>
      <c r="H721" s="18">
        <v>31.4</v>
      </c>
      <c r="I721" s="27"/>
      <c r="J721" s="13">
        <f>H721*I721</f>
        <v>0</v>
      </c>
    </row>
    <row r="722" spans="1:10" ht="12" customHeight="1">
      <c r="A722" s="13" t="s">
        <v>3768</v>
      </c>
      <c r="B722" s="13" t="s">
        <v>3769</v>
      </c>
      <c r="C722" s="13" t="s">
        <v>91</v>
      </c>
      <c r="D722" s="13" t="s">
        <v>3475</v>
      </c>
      <c r="E722" s="13" t="s">
        <v>93</v>
      </c>
      <c r="F722" s="13" t="s">
        <v>3770</v>
      </c>
      <c r="G722" s="20" t="str">
        <f>HYPERLINK("http://www.semena-nn.ru/catalog/33/96869","Фото")</f>
        <v>Фото</v>
      </c>
      <c r="H722" s="19">
        <v>31.75</v>
      </c>
      <c r="I722" s="27"/>
      <c r="J722" s="13">
        <f>H722*I722</f>
        <v>0</v>
      </c>
    </row>
    <row r="723" spans="1:10" ht="12" customHeight="1">
      <c r="A723" s="13" t="s">
        <v>3771</v>
      </c>
      <c r="B723" s="13" t="s">
        <v>3772</v>
      </c>
      <c r="C723" s="13" t="s">
        <v>91</v>
      </c>
      <c r="D723" s="13" t="s">
        <v>3475</v>
      </c>
      <c r="E723" s="13" t="s">
        <v>93</v>
      </c>
      <c r="F723" s="13" t="s">
        <v>3773</v>
      </c>
      <c r="G723" s="20" t="str">
        <f>HYPERLINK("http://semena-nn.ru/catalog/33/999000005686","Фото")</f>
        <v>Фото</v>
      </c>
      <c r="H723" s="18">
        <v>69.400000000000006</v>
      </c>
      <c r="I723" s="27"/>
      <c r="J723" s="13">
        <f>H723*I723</f>
        <v>0</v>
      </c>
    </row>
    <row r="724" spans="1:10" ht="12" customHeight="1">
      <c r="A724" s="13" t="s">
        <v>3218</v>
      </c>
      <c r="B724" s="13" t="s">
        <v>3219</v>
      </c>
      <c r="C724" s="13" t="s">
        <v>91</v>
      </c>
      <c r="D724" s="13" t="s">
        <v>697</v>
      </c>
      <c r="E724" s="13" t="s">
        <v>3064</v>
      </c>
      <c r="F724" s="13" t="s">
        <v>3220</v>
      </c>
      <c r="G724" s="20" t="str">
        <f>HYPERLINK("http://semena-nn.ru/catalog/33/999000002088","Фото")</f>
        <v>Фото</v>
      </c>
      <c r="H724" s="15">
        <v>17</v>
      </c>
      <c r="I724" s="27"/>
      <c r="J724" s="13">
        <f>H724*I724</f>
        <v>0</v>
      </c>
    </row>
    <row r="725" spans="1:10" ht="12" customHeight="1">
      <c r="A725" s="13" t="s">
        <v>1228</v>
      </c>
      <c r="B725" s="13" t="s">
        <v>1229</v>
      </c>
      <c r="C725" s="13" t="s">
        <v>91</v>
      </c>
      <c r="D725" s="13" t="s">
        <v>697</v>
      </c>
      <c r="E725" s="13" t="s">
        <v>93</v>
      </c>
      <c r="F725" s="13" t="s">
        <v>1230</v>
      </c>
      <c r="G725" s="20" t="str">
        <f>HYPERLINK("http://www.semena-nn.ru/catalog/33/1283359","Фото")</f>
        <v>Фото</v>
      </c>
      <c r="H725" s="18">
        <v>32.299999999999997</v>
      </c>
      <c r="I725" s="27"/>
      <c r="J725" s="13">
        <f>H725*I725</f>
        <v>0</v>
      </c>
    </row>
    <row r="726" spans="1:10" ht="12" customHeight="1">
      <c r="A726" s="13" t="s">
        <v>6092</v>
      </c>
      <c r="B726" s="13" t="s">
        <v>6093</v>
      </c>
      <c r="C726" s="13" t="s">
        <v>91</v>
      </c>
      <c r="D726" s="13" t="s">
        <v>6021</v>
      </c>
      <c r="E726" s="13" t="s">
        <v>93</v>
      </c>
      <c r="F726" s="13" t="s">
        <v>6094</v>
      </c>
      <c r="G726" s="20" t="str">
        <f>HYPERLINK("http://semena-nn.ru/catalog/33/93657","Фото")</f>
        <v>Фото</v>
      </c>
      <c r="H726" s="18">
        <v>48.3</v>
      </c>
      <c r="I726" s="27"/>
      <c r="J726" s="13">
        <f>H726*I726</f>
        <v>0</v>
      </c>
    </row>
    <row r="727" spans="1:10" ht="12" customHeight="1">
      <c r="A727" s="13" t="s">
        <v>6095</v>
      </c>
      <c r="B727" s="13" t="s">
        <v>6096</v>
      </c>
      <c r="C727" s="13" t="s">
        <v>91</v>
      </c>
      <c r="D727" s="13" t="s">
        <v>6021</v>
      </c>
      <c r="E727" s="13" t="s">
        <v>93</v>
      </c>
      <c r="F727" s="13" t="s">
        <v>6097</v>
      </c>
      <c r="G727" s="20" t="str">
        <f>HYPERLINK("http://www.semena-nn.ru/catalog/33/101565","Фото")</f>
        <v>Фото</v>
      </c>
      <c r="H727" s="18">
        <v>41.1</v>
      </c>
      <c r="I727" s="27"/>
      <c r="J727" s="13">
        <f>H727*I727</f>
        <v>0</v>
      </c>
    </row>
    <row r="728" spans="1:10" ht="12" customHeight="1">
      <c r="A728" s="13" t="s">
        <v>6098</v>
      </c>
      <c r="B728" s="13" t="s">
        <v>6099</v>
      </c>
      <c r="C728" s="13" t="s">
        <v>91</v>
      </c>
      <c r="D728" s="13" t="s">
        <v>6021</v>
      </c>
      <c r="E728" s="13" t="s">
        <v>93</v>
      </c>
      <c r="F728" s="13" t="s">
        <v>6100</v>
      </c>
      <c r="G728" s="20" t="str">
        <f>HYPERLINK("http://semena-nn.ru/catalog/2/33/big_1121621.jpg","Фото")</f>
        <v>Фото</v>
      </c>
      <c r="H728" s="18">
        <v>41.1</v>
      </c>
      <c r="I728" s="27"/>
      <c r="J728" s="13">
        <f>H728*I728</f>
        <v>0</v>
      </c>
    </row>
    <row r="729" spans="1:10" ht="12" customHeight="1">
      <c r="A729" s="13" t="s">
        <v>7880</v>
      </c>
      <c r="B729" s="13" t="s">
        <v>7881</v>
      </c>
      <c r="C729" s="13" t="s">
        <v>91</v>
      </c>
      <c r="D729" s="13" t="s">
        <v>7728</v>
      </c>
      <c r="E729" s="13" t="s">
        <v>93</v>
      </c>
      <c r="F729" s="13" t="s">
        <v>7882</v>
      </c>
      <c r="G729" s="20" t="str">
        <f>HYPERLINK("https://semena-nn.ru/catalog/33/999000007849","Фото")</f>
        <v>Фото</v>
      </c>
      <c r="H729" s="18">
        <v>40.200000000000003</v>
      </c>
      <c r="I729" s="27"/>
      <c r="J729" s="13">
        <f>H729*I729</f>
        <v>0</v>
      </c>
    </row>
    <row r="730" spans="1:10" ht="12" customHeight="1">
      <c r="A730" s="13" t="s">
        <v>2802</v>
      </c>
      <c r="B730" s="13" t="s">
        <v>2803</v>
      </c>
      <c r="C730" s="13" t="s">
        <v>91</v>
      </c>
      <c r="D730" s="13" t="s">
        <v>697</v>
      </c>
      <c r="E730" s="13" t="s">
        <v>2636</v>
      </c>
      <c r="F730" s="13" t="s">
        <v>2804</v>
      </c>
      <c r="G730" s="20" t="str">
        <f>HYPERLINK("http://semena-nn.ru/catalog/33/3157","Фото")</f>
        <v>Фото</v>
      </c>
      <c r="H730" s="18">
        <v>8.8000000000000007</v>
      </c>
      <c r="I730" s="27"/>
      <c r="J730" s="13">
        <f>H730*I730</f>
        <v>0</v>
      </c>
    </row>
    <row r="731" spans="1:10" ht="12" customHeight="1">
      <c r="A731" s="13" t="s">
        <v>3774</v>
      </c>
      <c r="B731" s="13" t="s">
        <v>3775</v>
      </c>
      <c r="C731" s="13" t="s">
        <v>91</v>
      </c>
      <c r="D731" s="13" t="s">
        <v>3475</v>
      </c>
      <c r="E731" s="13" t="s">
        <v>93</v>
      </c>
      <c r="F731" s="13" t="s">
        <v>3776</v>
      </c>
      <c r="G731" s="20" t="str">
        <f>HYPERLINK("http://semena-nn.ru/catalog/33/1119508","Фото")</f>
        <v>Фото</v>
      </c>
      <c r="H731" s="18">
        <v>37.6</v>
      </c>
      <c r="I731" s="27"/>
      <c r="J731" s="13">
        <f>H731*I731</f>
        <v>0</v>
      </c>
    </row>
    <row r="732" spans="1:10" ht="12" customHeight="1">
      <c r="A732" s="13" t="s">
        <v>1231</v>
      </c>
      <c r="B732" s="13" t="s">
        <v>1232</v>
      </c>
      <c r="C732" s="13" t="s">
        <v>91</v>
      </c>
      <c r="D732" s="13" t="s">
        <v>697</v>
      </c>
      <c r="E732" s="13" t="s">
        <v>93</v>
      </c>
      <c r="F732" s="13" t="s">
        <v>1233</v>
      </c>
      <c r="G732" s="20" t="str">
        <f>HYPERLINK("http://www.semena-nn.ru/catalog/33/80915","Фото")</f>
        <v>Фото</v>
      </c>
      <c r="H732" s="18">
        <v>18.7</v>
      </c>
      <c r="I732" s="27"/>
      <c r="J732" s="13">
        <f>H732*I732</f>
        <v>0</v>
      </c>
    </row>
    <row r="733" spans="1:10" ht="12" customHeight="1">
      <c r="A733" s="13" t="s">
        <v>2805</v>
      </c>
      <c r="B733" s="13" t="s">
        <v>2806</v>
      </c>
      <c r="C733" s="13" t="s">
        <v>91</v>
      </c>
      <c r="D733" s="13" t="s">
        <v>697</v>
      </c>
      <c r="E733" s="13" t="s">
        <v>2636</v>
      </c>
      <c r="F733" s="13" t="s">
        <v>2807</v>
      </c>
      <c r="G733" s="20" t="str">
        <f>HYPERLINK("http://semena-nn.ru/catalog/33/999000005208","Фото")</f>
        <v>Фото</v>
      </c>
      <c r="H733" s="18">
        <v>7.2</v>
      </c>
      <c r="I733" s="27"/>
      <c r="J733" s="13">
        <f>H733*I733</f>
        <v>0</v>
      </c>
    </row>
    <row r="734" spans="1:10" ht="12" customHeight="1">
      <c r="A734" s="13" t="s">
        <v>3221</v>
      </c>
      <c r="B734" s="13" t="s">
        <v>3222</v>
      </c>
      <c r="C734" s="13" t="s">
        <v>91</v>
      </c>
      <c r="D734" s="13" t="s">
        <v>697</v>
      </c>
      <c r="E734" s="13" t="s">
        <v>3064</v>
      </c>
      <c r="F734" s="13" t="s">
        <v>3223</v>
      </c>
      <c r="G734" s="20" t="str">
        <f>HYPERLINK("http://www.semena-nn.ru/catalog/33/1288649","Фото")</f>
        <v>Фото</v>
      </c>
      <c r="H734" s="19">
        <v>12.65</v>
      </c>
      <c r="I734" s="27"/>
      <c r="J734" s="13">
        <f>H734*I734</f>
        <v>0</v>
      </c>
    </row>
    <row r="735" spans="1:10" ht="12" customHeight="1">
      <c r="A735" s="13" t="s">
        <v>6101</v>
      </c>
      <c r="B735" s="13" t="s">
        <v>6102</v>
      </c>
      <c r="C735" s="13" t="s">
        <v>91</v>
      </c>
      <c r="D735" s="13" t="s">
        <v>6021</v>
      </c>
      <c r="E735" s="13" t="s">
        <v>93</v>
      </c>
      <c r="F735" s="13" t="s">
        <v>6103</v>
      </c>
      <c r="G735" s="20" t="str">
        <f>HYPERLINK("http://semena-nn.ru/catalog/33/1116589","Фото")</f>
        <v>Фото</v>
      </c>
      <c r="H735" s="18">
        <v>43.5</v>
      </c>
      <c r="I735" s="27"/>
      <c r="J735" s="13">
        <f>H735*I735</f>
        <v>0</v>
      </c>
    </row>
    <row r="736" spans="1:10" ht="12" customHeight="1">
      <c r="A736" s="13" t="s">
        <v>3777</v>
      </c>
      <c r="B736" s="13" t="s">
        <v>3778</v>
      </c>
      <c r="C736" s="13" t="s">
        <v>91</v>
      </c>
      <c r="D736" s="13" t="s">
        <v>3475</v>
      </c>
      <c r="E736" s="13" t="s">
        <v>93</v>
      </c>
      <c r="F736" s="13" t="s">
        <v>3779</v>
      </c>
      <c r="G736" s="20" t="str">
        <f>HYPERLINK("http://semena-nn.ru/catalog/33/1315637","Фото")</f>
        <v>Фото</v>
      </c>
      <c r="H736" s="15">
        <v>47</v>
      </c>
      <c r="I736" s="27"/>
      <c r="J736" s="13">
        <f>H736*I736</f>
        <v>0</v>
      </c>
    </row>
    <row r="737" spans="1:10" ht="12" customHeight="1">
      <c r="A737" s="13" t="s">
        <v>3780</v>
      </c>
      <c r="B737" s="13" t="s">
        <v>3781</v>
      </c>
      <c r="C737" s="13" t="s">
        <v>91</v>
      </c>
      <c r="D737" s="13" t="s">
        <v>3475</v>
      </c>
      <c r="E737" s="13" t="s">
        <v>93</v>
      </c>
      <c r="F737" s="13" t="s">
        <v>3782</v>
      </c>
      <c r="G737" s="20" t="str">
        <f>HYPERLINK("https://semena-nn.ru/catalog/33/999000008939","Фото")</f>
        <v>Фото</v>
      </c>
      <c r="H737" s="15">
        <v>67</v>
      </c>
      <c r="I737" s="27"/>
      <c r="J737" s="13">
        <f>H737*I737</f>
        <v>0</v>
      </c>
    </row>
    <row r="738" spans="1:10" ht="12" customHeight="1">
      <c r="A738" s="13" t="s">
        <v>3783</v>
      </c>
      <c r="B738" s="13" t="s">
        <v>3784</v>
      </c>
      <c r="C738" s="13" t="s">
        <v>91</v>
      </c>
      <c r="D738" s="13" t="s">
        <v>3475</v>
      </c>
      <c r="E738" s="13" t="s">
        <v>93</v>
      </c>
      <c r="F738" s="13" t="s">
        <v>3785</v>
      </c>
      <c r="G738" s="20" t="str">
        <f>HYPERLINK("http://semena-nn.ru/catalog/33/1303872","Фото")</f>
        <v>Фото</v>
      </c>
      <c r="H738" s="19">
        <v>31.75</v>
      </c>
      <c r="I738" s="27"/>
      <c r="J738" s="13">
        <f>H738*I738</f>
        <v>0</v>
      </c>
    </row>
    <row r="739" spans="1:10" ht="12" customHeight="1">
      <c r="A739" s="13" t="s">
        <v>3786</v>
      </c>
      <c r="B739" s="13" t="s">
        <v>3787</v>
      </c>
      <c r="C739" s="13" t="s">
        <v>91</v>
      </c>
      <c r="D739" s="13" t="s">
        <v>3475</v>
      </c>
      <c r="E739" s="13" t="s">
        <v>93</v>
      </c>
      <c r="F739" s="13" t="s">
        <v>3788</v>
      </c>
      <c r="G739" s="20" t="str">
        <f>HYPERLINK("http://semena-nn.ru/catalog/33/1303865","Фото")</f>
        <v>Фото</v>
      </c>
      <c r="H739" s="19">
        <v>62.35</v>
      </c>
      <c r="I739" s="27"/>
      <c r="J739" s="13">
        <f>H739*I739</f>
        <v>0</v>
      </c>
    </row>
    <row r="740" spans="1:10" ht="12" customHeight="1">
      <c r="A740" s="13" t="s">
        <v>3789</v>
      </c>
      <c r="B740" s="13" t="s">
        <v>3790</v>
      </c>
      <c r="C740" s="13" t="s">
        <v>91</v>
      </c>
      <c r="D740" s="13" t="s">
        <v>3475</v>
      </c>
      <c r="E740" s="13" t="s">
        <v>93</v>
      </c>
      <c r="F740" s="13" t="s">
        <v>3791</v>
      </c>
      <c r="G740" s="20" t="str">
        <f>HYPERLINK("http://semena-nn.ru/catalog/33/1303866","Фото")</f>
        <v>Фото</v>
      </c>
      <c r="H740" s="18">
        <v>33.6</v>
      </c>
      <c r="I740" s="27"/>
      <c r="J740" s="13">
        <f>H740*I740</f>
        <v>0</v>
      </c>
    </row>
    <row r="741" spans="1:10" ht="12" customHeight="1">
      <c r="A741" s="13" t="s">
        <v>8977</v>
      </c>
      <c r="B741" s="13" t="s">
        <v>8978</v>
      </c>
      <c r="C741" s="13" t="s">
        <v>91</v>
      </c>
      <c r="D741" s="13" t="s">
        <v>8717</v>
      </c>
      <c r="E741" s="13" t="s">
        <v>2636</v>
      </c>
      <c r="F741" s="13" t="s">
        <v>8979</v>
      </c>
      <c r="G741" s="20" t="str">
        <f>HYPERLINK("https://semena-nn.ru/catalog/33/999000010108","Фото")</f>
        <v>Фото</v>
      </c>
      <c r="H741" s="19">
        <v>16.75</v>
      </c>
      <c r="I741" s="27"/>
      <c r="J741" s="13">
        <f>H741*I741</f>
        <v>0</v>
      </c>
    </row>
    <row r="742" spans="1:10" ht="12" customHeight="1">
      <c r="A742" s="13" t="s">
        <v>6910</v>
      </c>
      <c r="B742" s="13" t="s">
        <v>6911</v>
      </c>
      <c r="C742" s="13" t="s">
        <v>91</v>
      </c>
      <c r="D742" s="13" t="s">
        <v>87</v>
      </c>
      <c r="E742" s="13" t="s">
        <v>2636</v>
      </c>
      <c r="F742" s="13" t="s">
        <v>6912</v>
      </c>
      <c r="G742" s="20" t="str">
        <f>HYPERLINK("http://semena-nn.ru/catalog/33/105853","Фото")</f>
        <v>Фото</v>
      </c>
      <c r="H742" s="19">
        <v>17.850000000000001</v>
      </c>
      <c r="I742" s="27"/>
      <c r="J742" s="13">
        <f>H742*I742</f>
        <v>0</v>
      </c>
    </row>
    <row r="743" spans="1:10" ht="12" customHeight="1">
      <c r="A743" s="13" t="s">
        <v>4986</v>
      </c>
      <c r="B743" s="13" t="s">
        <v>4987</v>
      </c>
      <c r="C743" s="13" t="s">
        <v>91</v>
      </c>
      <c r="D743" s="13" t="s">
        <v>3475</v>
      </c>
      <c r="E743" s="13" t="s">
        <v>2636</v>
      </c>
      <c r="F743" s="13" t="s">
        <v>4988</v>
      </c>
      <c r="G743" s="20" t="str">
        <f>HYPERLINK("http://semena-nn.ru/catalog/33/999000005221","Фото")</f>
        <v>Фото</v>
      </c>
      <c r="H743" s="19">
        <v>11.65</v>
      </c>
      <c r="I743" s="27"/>
      <c r="J743" s="13">
        <f>H743*I743</f>
        <v>0</v>
      </c>
    </row>
    <row r="744" spans="1:10" ht="12" customHeight="1">
      <c r="A744" s="13" t="s">
        <v>3792</v>
      </c>
      <c r="B744" s="13" t="s">
        <v>3793</v>
      </c>
      <c r="C744" s="13" t="s">
        <v>91</v>
      </c>
      <c r="D744" s="13" t="s">
        <v>3475</v>
      </c>
      <c r="E744" s="13" t="s">
        <v>93</v>
      </c>
      <c r="F744" s="13" t="s">
        <v>3794</v>
      </c>
      <c r="G744" s="20" t="str">
        <f>HYPERLINK("http://semena-nn.ru/catalog/33/80103","Фото")</f>
        <v>Фото</v>
      </c>
      <c r="H744" s="18">
        <v>22.7</v>
      </c>
      <c r="I744" s="27"/>
      <c r="J744" s="13">
        <f>H744*I744</f>
        <v>0</v>
      </c>
    </row>
    <row r="745" spans="1:10" ht="12" customHeight="1">
      <c r="A745" s="13" t="s">
        <v>6104</v>
      </c>
      <c r="B745" s="13" t="s">
        <v>6105</v>
      </c>
      <c r="C745" s="13" t="s">
        <v>91</v>
      </c>
      <c r="D745" s="13" t="s">
        <v>6021</v>
      </c>
      <c r="E745" s="13" t="s">
        <v>93</v>
      </c>
      <c r="F745" s="13" t="s">
        <v>6106</v>
      </c>
      <c r="G745" s="20" t="str">
        <f>HYPERLINK("http://semena-nn.ru/catalog/33/80589","Фото")</f>
        <v>Фото</v>
      </c>
      <c r="H745" s="18">
        <v>39.9</v>
      </c>
      <c r="I745" s="27"/>
      <c r="J745" s="13">
        <f>H745*I745</f>
        <v>0</v>
      </c>
    </row>
    <row r="746" spans="1:10" ht="12" customHeight="1">
      <c r="A746" s="13" t="s">
        <v>3795</v>
      </c>
      <c r="B746" s="13" t="s">
        <v>3796</v>
      </c>
      <c r="C746" s="13" t="s">
        <v>91</v>
      </c>
      <c r="D746" s="13" t="s">
        <v>3475</v>
      </c>
      <c r="E746" s="13" t="s">
        <v>93</v>
      </c>
      <c r="F746" s="13" t="s">
        <v>3797</v>
      </c>
      <c r="G746" s="20" t="str">
        <f>HYPERLINK("http://www.semena-nn.ru/catalog/33/1315644","Фото")</f>
        <v>Фото</v>
      </c>
      <c r="H746" s="19">
        <v>126.25</v>
      </c>
      <c r="I746" s="27"/>
      <c r="J746" s="13">
        <f>H746*I746</f>
        <v>0</v>
      </c>
    </row>
    <row r="747" spans="1:10" ht="12" customHeight="1">
      <c r="A747" s="13" t="s">
        <v>3798</v>
      </c>
      <c r="B747" s="13" t="s">
        <v>3799</v>
      </c>
      <c r="C747" s="13" t="s">
        <v>91</v>
      </c>
      <c r="D747" s="13" t="s">
        <v>3475</v>
      </c>
      <c r="E747" s="13" t="s">
        <v>93</v>
      </c>
      <c r="F747" s="13" t="s">
        <v>3800</v>
      </c>
      <c r="G747" s="20" t="str">
        <f>HYPERLINK("http://semena-nn.ru/catalog/33/113418","Фото")</f>
        <v>Фото</v>
      </c>
      <c r="H747" s="18">
        <v>68.2</v>
      </c>
      <c r="I747" s="27"/>
      <c r="J747" s="13">
        <f>H747*I747</f>
        <v>0</v>
      </c>
    </row>
    <row r="748" spans="1:10" ht="12" customHeight="1">
      <c r="A748" s="13" t="s">
        <v>3801</v>
      </c>
      <c r="B748" s="13" t="s">
        <v>3802</v>
      </c>
      <c r="C748" s="13" t="s">
        <v>91</v>
      </c>
      <c r="D748" s="13" t="s">
        <v>3475</v>
      </c>
      <c r="E748" s="13" t="s">
        <v>93</v>
      </c>
      <c r="F748" s="13" t="s">
        <v>3803</v>
      </c>
      <c r="G748" s="20" t="str">
        <f>HYPERLINK("http://www.semena-nn.ru/catalog/33/1121458","Фото")</f>
        <v>Фото</v>
      </c>
      <c r="H748" s="19">
        <v>93.75</v>
      </c>
      <c r="I748" s="27"/>
      <c r="J748" s="13">
        <f>H748*I748</f>
        <v>0</v>
      </c>
    </row>
    <row r="749" spans="1:10" ht="12" customHeight="1">
      <c r="A749" s="13" t="s">
        <v>3804</v>
      </c>
      <c r="B749" s="13" t="s">
        <v>3805</v>
      </c>
      <c r="C749" s="13" t="s">
        <v>91</v>
      </c>
      <c r="D749" s="13" t="s">
        <v>3475</v>
      </c>
      <c r="E749" s="13" t="s">
        <v>93</v>
      </c>
      <c r="F749" s="13" t="s">
        <v>3806</v>
      </c>
      <c r="G749" s="20" t="str">
        <f>HYPERLINK("http://semena-nn.ru/catalog/33/1305024","Фото")</f>
        <v>Фото</v>
      </c>
      <c r="H749" s="18">
        <v>86.6</v>
      </c>
      <c r="I749" s="27"/>
      <c r="J749" s="13">
        <f>H749*I749</f>
        <v>0</v>
      </c>
    </row>
    <row r="750" spans="1:10" ht="12" customHeight="1">
      <c r="A750" s="13" t="s">
        <v>6107</v>
      </c>
      <c r="B750" s="13" t="s">
        <v>6108</v>
      </c>
      <c r="C750" s="13" t="s">
        <v>91</v>
      </c>
      <c r="D750" s="13" t="s">
        <v>6021</v>
      </c>
      <c r="E750" s="13" t="s">
        <v>93</v>
      </c>
      <c r="F750" s="13" t="s">
        <v>6109</v>
      </c>
      <c r="G750" s="20" t="str">
        <f>HYPERLINK("https://semena-nn.ru/catalog/33/999000020002","Фото")</f>
        <v>Фото</v>
      </c>
      <c r="H750" s="18">
        <v>48.3</v>
      </c>
      <c r="I750" s="27"/>
      <c r="J750" s="13">
        <f>H750*I750</f>
        <v>0</v>
      </c>
    </row>
    <row r="751" spans="1:10" ht="12" customHeight="1">
      <c r="A751" s="13" t="s">
        <v>3807</v>
      </c>
      <c r="B751" s="13" t="s">
        <v>3808</v>
      </c>
      <c r="C751" s="13" t="s">
        <v>91</v>
      </c>
      <c r="D751" s="13" t="s">
        <v>3475</v>
      </c>
      <c r="E751" s="13" t="s">
        <v>93</v>
      </c>
      <c r="F751" s="13" t="s">
        <v>3809</v>
      </c>
      <c r="G751" s="20" t="str">
        <f>HYPERLINK("http://semena-nn.ru/catalog/33/1290196","Фото")</f>
        <v>Фото</v>
      </c>
      <c r="H751" s="18">
        <v>58.8</v>
      </c>
      <c r="I751" s="27"/>
      <c r="J751" s="13">
        <f>H751*I751</f>
        <v>0</v>
      </c>
    </row>
    <row r="752" spans="1:10" ht="12" customHeight="1">
      <c r="A752" s="13" t="s">
        <v>3810</v>
      </c>
      <c r="B752" s="13" t="s">
        <v>3811</v>
      </c>
      <c r="C752" s="13" t="s">
        <v>91</v>
      </c>
      <c r="D752" s="13" t="s">
        <v>3475</v>
      </c>
      <c r="E752" s="13" t="s">
        <v>93</v>
      </c>
      <c r="F752" s="13" t="s">
        <v>3809</v>
      </c>
      <c r="G752" s="20" t="str">
        <f>HYPERLINK("http://www.semena-nn.ru/catalog/33/1304466","Фото")</f>
        <v>Фото</v>
      </c>
      <c r="H752" s="19">
        <v>93.75</v>
      </c>
      <c r="I752" s="27"/>
      <c r="J752" s="13">
        <f>H752*I752</f>
        <v>0</v>
      </c>
    </row>
    <row r="753" spans="1:10" ht="12" customHeight="1">
      <c r="A753" s="13" t="s">
        <v>6110</v>
      </c>
      <c r="B753" s="13" t="s">
        <v>6111</v>
      </c>
      <c r="C753" s="13" t="s">
        <v>91</v>
      </c>
      <c r="D753" s="13" t="s">
        <v>6021</v>
      </c>
      <c r="E753" s="13" t="s">
        <v>93</v>
      </c>
      <c r="F753" s="13" t="s">
        <v>6112</v>
      </c>
      <c r="G753" s="20" t="str">
        <f>HYPERLINK("http://semena-nn.ru/catalog/33/1124877","Фото")</f>
        <v>Фото</v>
      </c>
      <c r="H753" s="18">
        <v>44.7</v>
      </c>
      <c r="I753" s="27"/>
      <c r="J753" s="13">
        <f>H753*I753</f>
        <v>0</v>
      </c>
    </row>
    <row r="754" spans="1:10" ht="12" customHeight="1">
      <c r="A754" s="13" t="s">
        <v>2808</v>
      </c>
      <c r="B754" s="13" t="s">
        <v>2809</v>
      </c>
      <c r="C754" s="13" t="s">
        <v>91</v>
      </c>
      <c r="D754" s="13" t="s">
        <v>697</v>
      </c>
      <c r="E754" s="13" t="s">
        <v>2636</v>
      </c>
      <c r="F754" s="13" t="s">
        <v>2810</v>
      </c>
      <c r="G754" s="20" t="str">
        <f>HYPERLINK("http://semena-nn.ru/catalog/33/3134","Фото")</f>
        <v>Фото</v>
      </c>
      <c r="H754" s="18">
        <v>7.2</v>
      </c>
      <c r="I754" s="27"/>
      <c r="J754" s="13">
        <f>H754*I754</f>
        <v>0</v>
      </c>
    </row>
    <row r="755" spans="1:10" ht="12" customHeight="1">
      <c r="A755" s="13" t="s">
        <v>3224</v>
      </c>
      <c r="B755" s="13" t="s">
        <v>3225</v>
      </c>
      <c r="C755" s="13" t="s">
        <v>91</v>
      </c>
      <c r="D755" s="13" t="s">
        <v>697</v>
      </c>
      <c r="E755" s="13" t="s">
        <v>3064</v>
      </c>
      <c r="F755" s="13" t="s">
        <v>3226</v>
      </c>
      <c r="G755" s="20" t="str">
        <f>HYPERLINK("http://semena-nn.ru/catalog/2/33/big_1299519.jpg","Фото")</f>
        <v>Фото</v>
      </c>
      <c r="H755" s="19">
        <v>12.65</v>
      </c>
      <c r="I755" s="27"/>
      <c r="J755" s="13">
        <f>H755*I755</f>
        <v>0</v>
      </c>
    </row>
    <row r="756" spans="1:10" ht="12" customHeight="1">
      <c r="A756" s="13" t="s">
        <v>5887</v>
      </c>
      <c r="B756" s="13" t="s">
        <v>5888</v>
      </c>
      <c r="C756" s="13" t="s">
        <v>91</v>
      </c>
      <c r="D756" s="13" t="s">
        <v>5834</v>
      </c>
      <c r="E756" s="13" t="s">
        <v>93</v>
      </c>
      <c r="F756" s="13" t="s">
        <v>5889</v>
      </c>
      <c r="G756" s="20" t="str">
        <f>HYPERLINK("https://semena-nn.ru/catalog/33/888000001533","Фото")</f>
        <v>Фото</v>
      </c>
      <c r="H756" s="19">
        <v>47.25</v>
      </c>
      <c r="I756" s="27"/>
      <c r="J756" s="13">
        <f>H756*I756</f>
        <v>0</v>
      </c>
    </row>
    <row r="757" spans="1:10" ht="12" customHeight="1">
      <c r="A757" s="13" t="s">
        <v>7252</v>
      </c>
      <c r="B757" s="13" t="s">
        <v>7253</v>
      </c>
      <c r="C757" s="13" t="s">
        <v>91</v>
      </c>
      <c r="D757" s="13" t="s">
        <v>7148</v>
      </c>
      <c r="E757" s="13" t="s">
        <v>93</v>
      </c>
      <c r="F757" s="13" t="s">
        <v>7254</v>
      </c>
      <c r="G757" s="20" t="str">
        <f>HYPERLINK("https://semena-nn.ru/catalog/33/888000000846","Фото")</f>
        <v>Фото</v>
      </c>
      <c r="H757" s="18">
        <v>136.1</v>
      </c>
      <c r="I757" s="27"/>
      <c r="J757" s="13">
        <f>H757*I757</f>
        <v>0</v>
      </c>
    </row>
    <row r="758" spans="1:10" ht="12" customHeight="1">
      <c r="A758" s="13" t="s">
        <v>107</v>
      </c>
      <c r="B758" s="13" t="s">
        <v>108</v>
      </c>
      <c r="C758" s="13" t="s">
        <v>91</v>
      </c>
      <c r="D758" s="13" t="s">
        <v>92</v>
      </c>
      <c r="E758" s="13" t="s">
        <v>93</v>
      </c>
      <c r="F758" s="17" t="s">
        <v>109</v>
      </c>
      <c r="G758" s="20" t="str">
        <f>HYPERLINK("https://semena-nn.ru/catalog/33/888000000210","Фото")</f>
        <v>Фото</v>
      </c>
      <c r="H758" s="19">
        <v>68.25</v>
      </c>
      <c r="I758" s="27"/>
      <c r="J758" s="13">
        <f>H758*I758</f>
        <v>0</v>
      </c>
    </row>
    <row r="759" spans="1:10" ht="12" customHeight="1">
      <c r="A759" s="13" t="s">
        <v>6113</v>
      </c>
      <c r="B759" s="13" t="s">
        <v>6114</v>
      </c>
      <c r="C759" s="13" t="s">
        <v>91</v>
      </c>
      <c r="D759" s="13" t="s">
        <v>6021</v>
      </c>
      <c r="E759" s="13" t="s">
        <v>93</v>
      </c>
      <c r="F759" s="13" t="s">
        <v>6115</v>
      </c>
      <c r="G759" s="20" t="str">
        <f>HYPERLINK("https://semena-nn.ru/catalog/33/1116593","Фото")</f>
        <v>Фото</v>
      </c>
      <c r="H759" s="18">
        <v>41.1</v>
      </c>
      <c r="I759" s="27"/>
      <c r="J759" s="13">
        <f>H759*I759</f>
        <v>0</v>
      </c>
    </row>
    <row r="760" spans="1:10" ht="12" customHeight="1">
      <c r="A760" s="13" t="s">
        <v>6116</v>
      </c>
      <c r="B760" s="13" t="s">
        <v>6117</v>
      </c>
      <c r="C760" s="13" t="s">
        <v>91</v>
      </c>
      <c r="D760" s="13" t="s">
        <v>6021</v>
      </c>
      <c r="E760" s="13" t="s">
        <v>93</v>
      </c>
      <c r="F760" s="13" t="s">
        <v>6118</v>
      </c>
      <c r="G760" s="20" t="str">
        <f>HYPERLINK("http://semena-nn.ru/catalog/33/1116590","Фото")</f>
        <v>Фото</v>
      </c>
      <c r="H760" s="19">
        <v>38.65</v>
      </c>
      <c r="I760" s="27"/>
      <c r="J760" s="13">
        <f>H760*I760</f>
        <v>0</v>
      </c>
    </row>
    <row r="761" spans="1:10" ht="12" customHeight="1">
      <c r="A761" s="13" t="s">
        <v>7883</v>
      </c>
      <c r="B761" s="13" t="s">
        <v>7884</v>
      </c>
      <c r="C761" s="13" t="s">
        <v>91</v>
      </c>
      <c r="D761" s="13" t="s">
        <v>7728</v>
      </c>
      <c r="E761" s="13" t="s">
        <v>93</v>
      </c>
      <c r="F761" s="13" t="s">
        <v>7885</v>
      </c>
      <c r="G761" s="20" t="str">
        <f>HYPERLINK("http://semena-nn.ru/catalog/2/33/big_1289557.JPG","Фото")</f>
        <v>Фото</v>
      </c>
      <c r="H761" s="19">
        <v>65.849999999999994</v>
      </c>
      <c r="I761" s="27"/>
      <c r="J761" s="13">
        <f>H761*I761</f>
        <v>0</v>
      </c>
    </row>
    <row r="762" spans="1:10" ht="12" customHeight="1">
      <c r="A762" s="13" t="s">
        <v>6119</v>
      </c>
      <c r="B762" s="13" t="s">
        <v>6120</v>
      </c>
      <c r="C762" s="13" t="s">
        <v>91</v>
      </c>
      <c r="D762" s="13" t="s">
        <v>6021</v>
      </c>
      <c r="E762" s="13" t="s">
        <v>93</v>
      </c>
      <c r="F762" s="13" t="s">
        <v>6121</v>
      </c>
      <c r="G762" s="20" t="str">
        <f>HYPERLINK("http://semena-nn.ru/catalog/2/33/big_1310743.jpg","Фото")</f>
        <v>Фото</v>
      </c>
      <c r="H762" s="18">
        <v>44.7</v>
      </c>
      <c r="I762" s="27"/>
      <c r="J762" s="13">
        <f>H762*I762</f>
        <v>0</v>
      </c>
    </row>
    <row r="763" spans="1:10" ht="12" customHeight="1">
      <c r="A763" s="13" t="s">
        <v>7255</v>
      </c>
      <c r="B763" s="13" t="s">
        <v>7256</v>
      </c>
      <c r="C763" s="13" t="s">
        <v>91</v>
      </c>
      <c r="D763" s="13" t="s">
        <v>7148</v>
      </c>
      <c r="E763" s="13" t="s">
        <v>93</v>
      </c>
      <c r="F763" s="13" t="s">
        <v>7257</v>
      </c>
      <c r="G763" s="20" t="str">
        <f>HYPERLINK("https://semena-nn.ru/catalog/33/1314899","Фото")</f>
        <v>Фото</v>
      </c>
      <c r="H763" s="18">
        <v>55.5</v>
      </c>
      <c r="I763" s="27"/>
      <c r="J763" s="13">
        <f>H763*I763</f>
        <v>0</v>
      </c>
    </row>
    <row r="764" spans="1:10" ht="12" customHeight="1">
      <c r="A764" s="13" t="s">
        <v>1234</v>
      </c>
      <c r="B764" s="13" t="s">
        <v>1235</v>
      </c>
      <c r="C764" s="13" t="s">
        <v>91</v>
      </c>
      <c r="D764" s="13" t="s">
        <v>697</v>
      </c>
      <c r="E764" s="13" t="s">
        <v>93</v>
      </c>
      <c r="F764" s="13" t="s">
        <v>1236</v>
      </c>
      <c r="G764" s="20" t="str">
        <f>HYPERLINK("http://semena-nn.ru/catalog/33/999000003349","Фото")</f>
        <v>Фото</v>
      </c>
      <c r="H764" s="18">
        <v>63.1</v>
      </c>
      <c r="I764" s="27"/>
      <c r="J764" s="13">
        <f>H764*I764</f>
        <v>0</v>
      </c>
    </row>
    <row r="765" spans="1:10" ht="12" customHeight="1">
      <c r="A765" s="13" t="s">
        <v>5231</v>
      </c>
      <c r="B765" s="13" t="s">
        <v>5232</v>
      </c>
      <c r="C765" s="13" t="s">
        <v>91</v>
      </c>
      <c r="D765" s="13" t="s">
        <v>5136</v>
      </c>
      <c r="E765" s="13" t="s">
        <v>93</v>
      </c>
      <c r="F765" s="13" t="s">
        <v>5233</v>
      </c>
      <c r="G765" s="20" t="str">
        <f>HYPERLINK("https://semena-nn.ru/catalog/33/888000007816","Фото")</f>
        <v>Фото</v>
      </c>
      <c r="H765" s="15">
        <v>64</v>
      </c>
      <c r="I765" s="27"/>
      <c r="J765" s="13">
        <f>H765*I765</f>
        <v>0</v>
      </c>
    </row>
    <row r="766" spans="1:10" ht="12" customHeight="1">
      <c r="A766" s="13" t="s">
        <v>7886</v>
      </c>
      <c r="B766" s="13" t="s">
        <v>7887</v>
      </c>
      <c r="C766" s="13" t="s">
        <v>91</v>
      </c>
      <c r="D766" s="13" t="s">
        <v>7728</v>
      </c>
      <c r="E766" s="13" t="s">
        <v>93</v>
      </c>
      <c r="F766" s="13" t="s">
        <v>7888</v>
      </c>
      <c r="G766" s="20" t="str">
        <f>HYPERLINK("http://semena-nn.ru/catalog/33/94202","Фото")</f>
        <v>Фото</v>
      </c>
      <c r="H766" s="18">
        <v>31.3</v>
      </c>
      <c r="I766" s="27"/>
      <c r="J766" s="13">
        <f>H766*I766</f>
        <v>0</v>
      </c>
    </row>
    <row r="767" spans="1:10" ht="12" customHeight="1">
      <c r="A767" s="13" t="s">
        <v>1237</v>
      </c>
      <c r="B767" s="13" t="s">
        <v>1238</v>
      </c>
      <c r="C767" s="13" t="s">
        <v>91</v>
      </c>
      <c r="D767" s="13" t="s">
        <v>697</v>
      </c>
      <c r="E767" s="13" t="s">
        <v>93</v>
      </c>
      <c r="F767" s="13" t="s">
        <v>1239</v>
      </c>
      <c r="G767" s="20" t="str">
        <f>HYPERLINK("https://semena-nn.ru/catalog/33/999000009157","Фото")</f>
        <v>Фото</v>
      </c>
      <c r="H767" s="18">
        <v>77.3</v>
      </c>
      <c r="I767" s="27"/>
      <c r="J767" s="13">
        <f>H767*I767</f>
        <v>0</v>
      </c>
    </row>
    <row r="768" spans="1:10" ht="12" customHeight="1">
      <c r="A768" s="13" t="s">
        <v>1240</v>
      </c>
      <c r="B768" s="13" t="s">
        <v>1241</v>
      </c>
      <c r="C768" s="13" t="s">
        <v>91</v>
      </c>
      <c r="D768" s="13" t="s">
        <v>697</v>
      </c>
      <c r="E768" s="13" t="s">
        <v>93</v>
      </c>
      <c r="F768" s="13" t="s">
        <v>1242</v>
      </c>
      <c r="G768" s="20" t="str">
        <f>HYPERLINK("https://semena-nn.ru/catalog/33/999000020233","Фото")</f>
        <v>Фото</v>
      </c>
      <c r="H768" s="19">
        <v>24.75</v>
      </c>
      <c r="I768" s="27"/>
      <c r="J768" s="13">
        <f>H768*I768</f>
        <v>0</v>
      </c>
    </row>
    <row r="769" spans="1:10" ht="12" customHeight="1">
      <c r="A769" s="13" t="s">
        <v>6492</v>
      </c>
      <c r="B769" s="13" t="s">
        <v>6493</v>
      </c>
      <c r="C769" s="13" t="s">
        <v>91</v>
      </c>
      <c r="D769" s="13" t="s">
        <v>87</v>
      </c>
      <c r="E769" s="13" t="s">
        <v>93</v>
      </c>
      <c r="F769" s="13" t="s">
        <v>6494</v>
      </c>
      <c r="G769" s="20" t="str">
        <f>HYPERLINK("http://semena-nn.ru/catalog/2/33/big_1303192.jpg","Фото")</f>
        <v>Фото</v>
      </c>
      <c r="H769" s="18">
        <v>113.4</v>
      </c>
      <c r="I769" s="27"/>
      <c r="J769" s="13">
        <f>H769*I769</f>
        <v>0</v>
      </c>
    </row>
    <row r="770" spans="1:10" ht="12" customHeight="1">
      <c r="A770" s="13" t="s">
        <v>3812</v>
      </c>
      <c r="B770" s="13" t="s">
        <v>3813</v>
      </c>
      <c r="C770" s="13" t="s">
        <v>91</v>
      </c>
      <c r="D770" s="13" t="s">
        <v>3475</v>
      </c>
      <c r="E770" s="13" t="s">
        <v>93</v>
      </c>
      <c r="F770" s="13" t="s">
        <v>3814</v>
      </c>
      <c r="G770" s="20" t="str">
        <f>HYPERLINK("http://semena-nn.ru/catalog/33/1305998","Фото")</f>
        <v>Фото</v>
      </c>
      <c r="H770" s="18">
        <v>74.900000000000006</v>
      </c>
      <c r="I770" s="27"/>
      <c r="J770" s="13">
        <f>H770*I770</f>
        <v>0</v>
      </c>
    </row>
    <row r="771" spans="1:10" ht="12" customHeight="1">
      <c r="A771" s="13" t="s">
        <v>6122</v>
      </c>
      <c r="B771" s="13" t="s">
        <v>6123</v>
      </c>
      <c r="C771" s="13" t="s">
        <v>91</v>
      </c>
      <c r="D771" s="13" t="s">
        <v>6021</v>
      </c>
      <c r="E771" s="13" t="s">
        <v>93</v>
      </c>
      <c r="F771" s="13" t="s">
        <v>6124</v>
      </c>
      <c r="G771" s="20" t="str">
        <f>HYPERLINK("http://www.semena-nn.ru/catalog/33/101561","Фото")</f>
        <v>Фото</v>
      </c>
      <c r="H771" s="18">
        <v>42.3</v>
      </c>
      <c r="I771" s="27"/>
      <c r="J771" s="13">
        <f>H771*I771</f>
        <v>0</v>
      </c>
    </row>
    <row r="772" spans="1:10" ht="12" customHeight="1">
      <c r="A772" s="13" t="s">
        <v>1243</v>
      </c>
      <c r="B772" s="13" t="s">
        <v>1244</v>
      </c>
      <c r="C772" s="13" t="s">
        <v>91</v>
      </c>
      <c r="D772" s="13" t="s">
        <v>697</v>
      </c>
      <c r="E772" s="13" t="s">
        <v>93</v>
      </c>
      <c r="F772" s="13" t="s">
        <v>1245</v>
      </c>
      <c r="G772" s="20" t="str">
        <f>HYPERLINK("https://semena-nn.ru/catalog/33/888000000415","Фото")</f>
        <v>Фото</v>
      </c>
      <c r="H772" s="19">
        <v>31.15</v>
      </c>
      <c r="I772" s="27"/>
      <c r="J772" s="13">
        <f>H772*I772</f>
        <v>0</v>
      </c>
    </row>
    <row r="773" spans="1:10" ht="12" customHeight="1">
      <c r="A773" s="13" t="s">
        <v>7889</v>
      </c>
      <c r="B773" s="13" t="s">
        <v>7890</v>
      </c>
      <c r="C773" s="13" t="s">
        <v>91</v>
      </c>
      <c r="D773" s="13" t="s">
        <v>7728</v>
      </c>
      <c r="E773" s="13" t="s">
        <v>93</v>
      </c>
      <c r="F773" s="13" t="s">
        <v>7891</v>
      </c>
      <c r="G773" s="20" t="str">
        <f>HYPERLINK("http://semena-nn.ru/catalog/33/1282270","Фото")</f>
        <v>Фото</v>
      </c>
      <c r="H773" s="18">
        <v>21.2</v>
      </c>
      <c r="I773" s="27"/>
      <c r="J773" s="13">
        <f>H773*I773</f>
        <v>0</v>
      </c>
    </row>
    <row r="774" spans="1:10" ht="12" customHeight="1">
      <c r="A774" s="13" t="s">
        <v>3227</v>
      </c>
      <c r="B774" s="13" t="s">
        <v>3228</v>
      </c>
      <c r="C774" s="13" t="s">
        <v>91</v>
      </c>
      <c r="D774" s="13" t="s">
        <v>697</v>
      </c>
      <c r="E774" s="13" t="s">
        <v>3064</v>
      </c>
      <c r="F774" s="13" t="s">
        <v>3229</v>
      </c>
      <c r="G774" s="20" t="str">
        <f>HYPERLINK("http://semena-nn.ru/catalog/33/1301023","Фото")</f>
        <v>Фото</v>
      </c>
      <c r="H774" s="18">
        <v>12.1</v>
      </c>
      <c r="I774" s="27"/>
      <c r="J774" s="13">
        <f>H774*I774</f>
        <v>0</v>
      </c>
    </row>
    <row r="775" spans="1:10" ht="12" customHeight="1">
      <c r="A775" s="13" t="s">
        <v>6913</v>
      </c>
      <c r="B775" s="13" t="s">
        <v>6914</v>
      </c>
      <c r="C775" s="13" t="s">
        <v>91</v>
      </c>
      <c r="D775" s="13" t="s">
        <v>87</v>
      </c>
      <c r="E775" s="13" t="s">
        <v>2636</v>
      </c>
      <c r="F775" s="13" t="s">
        <v>6915</v>
      </c>
      <c r="G775" s="20" t="str">
        <f>HYPERLINK("https://semena-nn.ru/catalog/33/106513","Фото")</f>
        <v>Фото</v>
      </c>
      <c r="H775" s="18">
        <v>13.7</v>
      </c>
      <c r="I775" s="27"/>
      <c r="J775" s="13">
        <f>H775*I775</f>
        <v>0</v>
      </c>
    </row>
    <row r="776" spans="1:10" ht="12" customHeight="1">
      <c r="A776" s="13" t="s">
        <v>2811</v>
      </c>
      <c r="B776" s="13" t="s">
        <v>2812</v>
      </c>
      <c r="C776" s="13" t="s">
        <v>91</v>
      </c>
      <c r="D776" s="13" t="s">
        <v>697</v>
      </c>
      <c r="E776" s="13" t="s">
        <v>2636</v>
      </c>
      <c r="F776" s="13" t="s">
        <v>2813</v>
      </c>
      <c r="G776" s="20" t="str">
        <f>HYPERLINK("http://www.semena-nn.ru/catalog/33/1114360","Фото")</f>
        <v>Фото</v>
      </c>
      <c r="H776" s="18">
        <v>14.8</v>
      </c>
      <c r="I776" s="27"/>
      <c r="J776" s="13">
        <f>H776*I776</f>
        <v>0</v>
      </c>
    </row>
    <row r="777" spans="1:10" ht="12" customHeight="1">
      <c r="A777" s="13" t="s">
        <v>6986</v>
      </c>
      <c r="B777" s="13" t="s">
        <v>6987</v>
      </c>
      <c r="C777" s="13" t="s">
        <v>91</v>
      </c>
      <c r="D777" s="13" t="s">
        <v>6927</v>
      </c>
      <c r="E777" s="13" t="s">
        <v>93</v>
      </c>
      <c r="F777" s="13" t="s">
        <v>6988</v>
      </c>
      <c r="G777" s="20" t="str">
        <f>HYPERLINK("https://semena-nn.ru/catalog/33/999000011663","Фото")</f>
        <v>Фото</v>
      </c>
      <c r="H777" s="19">
        <v>43.95</v>
      </c>
      <c r="I777" s="27"/>
      <c r="J777" s="13">
        <f>H777*I777</f>
        <v>0</v>
      </c>
    </row>
    <row r="778" spans="1:10" ht="12" customHeight="1">
      <c r="A778" s="13" t="s">
        <v>7892</v>
      </c>
      <c r="B778" s="13" t="s">
        <v>7893</v>
      </c>
      <c r="C778" s="13" t="s">
        <v>91</v>
      </c>
      <c r="D778" s="13" t="s">
        <v>7728</v>
      </c>
      <c r="E778" s="13" t="s">
        <v>93</v>
      </c>
      <c r="F778" s="13" t="s">
        <v>7894</v>
      </c>
      <c r="G778" s="20" t="str">
        <f>HYPERLINK("http://semena-nn.ru/catalog/2/33/big_1307461.jpg","Фото")</f>
        <v>Фото</v>
      </c>
      <c r="H778" s="18">
        <v>42.5</v>
      </c>
      <c r="I778" s="27"/>
      <c r="J778" s="13">
        <f>H778*I778</f>
        <v>0</v>
      </c>
    </row>
    <row r="779" spans="1:10" ht="12" customHeight="1">
      <c r="A779" s="13" t="s">
        <v>3815</v>
      </c>
      <c r="B779" s="13" t="s">
        <v>3816</v>
      </c>
      <c r="C779" s="13" t="s">
        <v>91</v>
      </c>
      <c r="D779" s="13" t="s">
        <v>3475</v>
      </c>
      <c r="E779" s="13" t="s">
        <v>93</v>
      </c>
      <c r="F779" s="13" t="s">
        <v>3817</v>
      </c>
      <c r="G779" s="20" t="str">
        <f>HYPERLINK("http://semena-nn.ru/catalog/33/1315350","Фото")</f>
        <v>Фото</v>
      </c>
      <c r="H779" s="18">
        <v>44.7</v>
      </c>
      <c r="I779" s="27"/>
      <c r="J779" s="13">
        <f>H779*I779</f>
        <v>0</v>
      </c>
    </row>
    <row r="780" spans="1:10" ht="12" customHeight="1">
      <c r="A780" s="13" t="s">
        <v>7895</v>
      </c>
      <c r="B780" s="13" t="s">
        <v>7896</v>
      </c>
      <c r="C780" s="13" t="s">
        <v>91</v>
      </c>
      <c r="D780" s="13" t="s">
        <v>7728</v>
      </c>
      <c r="E780" s="13" t="s">
        <v>93</v>
      </c>
      <c r="F780" s="13" t="s">
        <v>7897</v>
      </c>
      <c r="G780" s="20" t="str">
        <f>HYPERLINK("http://semena-nn.ru/catalog/33/1288562","Фото")</f>
        <v>Фото</v>
      </c>
      <c r="H780" s="18">
        <v>54.1</v>
      </c>
      <c r="I780" s="27"/>
      <c r="J780" s="13">
        <f>H780*I780</f>
        <v>0</v>
      </c>
    </row>
    <row r="781" spans="1:10" ht="12" customHeight="1">
      <c r="A781" s="13" t="s">
        <v>6125</v>
      </c>
      <c r="B781" s="13" t="s">
        <v>6126</v>
      </c>
      <c r="C781" s="13" t="s">
        <v>91</v>
      </c>
      <c r="D781" s="13" t="s">
        <v>6021</v>
      </c>
      <c r="E781" s="13" t="s">
        <v>93</v>
      </c>
      <c r="F781" s="13" t="s">
        <v>6127</v>
      </c>
      <c r="G781" s="20" t="str">
        <f>HYPERLINK("http://www.semena-nn.ru/catalog/33/101562","Фото")</f>
        <v>Фото</v>
      </c>
      <c r="H781" s="19">
        <v>50.75</v>
      </c>
      <c r="I781" s="27"/>
      <c r="J781" s="13">
        <f>H781*I781</f>
        <v>0</v>
      </c>
    </row>
    <row r="782" spans="1:10" ht="12" customHeight="1">
      <c r="A782" s="13" t="s">
        <v>7898</v>
      </c>
      <c r="B782" s="13" t="s">
        <v>7899</v>
      </c>
      <c r="C782" s="13" t="s">
        <v>91</v>
      </c>
      <c r="D782" s="13" t="s">
        <v>7728</v>
      </c>
      <c r="E782" s="13" t="s">
        <v>93</v>
      </c>
      <c r="F782" s="13" t="s">
        <v>7900</v>
      </c>
      <c r="G782" s="20" t="str">
        <f>HYPERLINK("http://semena-nn.ru/catalog/2/33/big_1286896.jpg","Фото")</f>
        <v>Фото</v>
      </c>
      <c r="H782" s="18">
        <v>54.1</v>
      </c>
      <c r="I782" s="27"/>
      <c r="J782" s="13">
        <f>H782*I782</f>
        <v>0</v>
      </c>
    </row>
    <row r="783" spans="1:10" ht="12" customHeight="1">
      <c r="A783" s="13" t="s">
        <v>5234</v>
      </c>
      <c r="B783" s="13" t="s">
        <v>5235</v>
      </c>
      <c r="C783" s="13" t="s">
        <v>91</v>
      </c>
      <c r="D783" s="13" t="s">
        <v>5136</v>
      </c>
      <c r="E783" s="13" t="s">
        <v>93</v>
      </c>
      <c r="F783" s="13" t="s">
        <v>5236</v>
      </c>
      <c r="G783" s="20" t="str">
        <f>HYPERLINK("https://semena-nn.ru/catalog/33/888000007817","Фото")</f>
        <v>Фото</v>
      </c>
      <c r="H783" s="18">
        <v>33.6</v>
      </c>
      <c r="I783" s="27"/>
      <c r="J783" s="13">
        <f>H783*I783</f>
        <v>0</v>
      </c>
    </row>
    <row r="784" spans="1:10" ht="12" customHeight="1">
      <c r="A784" s="13" t="s">
        <v>3818</v>
      </c>
      <c r="B784" s="13" t="s">
        <v>3819</v>
      </c>
      <c r="C784" s="13" t="s">
        <v>91</v>
      </c>
      <c r="D784" s="13" t="s">
        <v>3475</v>
      </c>
      <c r="E784" s="13" t="s">
        <v>93</v>
      </c>
      <c r="F784" s="13" t="s">
        <v>3820</v>
      </c>
      <c r="G784" s="20" t="str">
        <f>HYPERLINK("http://semena-nn.ru/catalog/33/1315713","Фото")</f>
        <v>Фото</v>
      </c>
      <c r="H784" s="18">
        <v>133.30000000000001</v>
      </c>
      <c r="I784" s="27"/>
      <c r="J784" s="13">
        <f>H784*I784</f>
        <v>0</v>
      </c>
    </row>
    <row r="785" spans="1:10" ht="12" customHeight="1">
      <c r="A785" s="13" t="s">
        <v>3821</v>
      </c>
      <c r="B785" s="13" t="s">
        <v>3822</v>
      </c>
      <c r="C785" s="13" t="s">
        <v>91</v>
      </c>
      <c r="D785" s="13" t="s">
        <v>3475</v>
      </c>
      <c r="E785" s="13" t="s">
        <v>93</v>
      </c>
      <c r="F785" s="13" t="s">
        <v>3823</v>
      </c>
      <c r="G785" s="20" t="str">
        <f>HYPERLINK("http://semena-nn.ru/catalog/33/1117504","Фото")</f>
        <v>Фото</v>
      </c>
      <c r="H785" s="19">
        <v>121.05</v>
      </c>
      <c r="I785" s="27"/>
      <c r="J785" s="13">
        <f>H785*I785</f>
        <v>0</v>
      </c>
    </row>
    <row r="786" spans="1:10" ht="12" customHeight="1">
      <c r="A786" s="13" t="s">
        <v>2814</v>
      </c>
      <c r="B786" s="13" t="s">
        <v>2815</v>
      </c>
      <c r="C786" s="13" t="s">
        <v>91</v>
      </c>
      <c r="D786" s="13" t="s">
        <v>697</v>
      </c>
      <c r="E786" s="13" t="s">
        <v>2636</v>
      </c>
      <c r="F786" s="13" t="s">
        <v>2816</v>
      </c>
      <c r="G786" s="20" t="str">
        <f>HYPERLINK("http://semena-nn.ru/catalog/33/1118614","Фото")</f>
        <v>Фото</v>
      </c>
      <c r="H786" s="18">
        <v>8.1999999999999993</v>
      </c>
      <c r="I786" s="27"/>
      <c r="J786" s="13">
        <f>H786*I786</f>
        <v>0</v>
      </c>
    </row>
    <row r="787" spans="1:10" ht="12" customHeight="1">
      <c r="A787" s="13" t="s">
        <v>3230</v>
      </c>
      <c r="B787" s="13" t="s">
        <v>3231</v>
      </c>
      <c r="C787" s="13" t="s">
        <v>91</v>
      </c>
      <c r="D787" s="13" t="s">
        <v>697</v>
      </c>
      <c r="E787" s="13" t="s">
        <v>3064</v>
      </c>
      <c r="F787" s="13" t="s">
        <v>3232</v>
      </c>
      <c r="G787" s="20" t="str">
        <f>HYPERLINK("http://semena-nn.ru/catalog/2/33/big_1288650.jpg","Фото")</f>
        <v>Фото</v>
      </c>
      <c r="H787" s="18">
        <v>13.8</v>
      </c>
      <c r="I787" s="27"/>
      <c r="J787" s="13">
        <f>H787*I787</f>
        <v>0</v>
      </c>
    </row>
    <row r="788" spans="1:10" ht="12" customHeight="1">
      <c r="A788" s="13" t="s">
        <v>3824</v>
      </c>
      <c r="B788" s="13" t="s">
        <v>3825</v>
      </c>
      <c r="C788" s="13" t="s">
        <v>91</v>
      </c>
      <c r="D788" s="13" t="s">
        <v>3475</v>
      </c>
      <c r="E788" s="13" t="s">
        <v>93</v>
      </c>
      <c r="F788" s="13" t="s">
        <v>3826</v>
      </c>
      <c r="G788" s="20" t="str">
        <f>HYPERLINK("https://semena-nn.ru/catalog/33/888000007895","Фото")</f>
        <v>Фото</v>
      </c>
      <c r="H788" s="19">
        <v>15.05</v>
      </c>
      <c r="I788" s="27"/>
      <c r="J788" s="13">
        <f>H788*I788</f>
        <v>0</v>
      </c>
    </row>
    <row r="789" spans="1:10" ht="12" customHeight="1">
      <c r="A789" s="13" t="s">
        <v>5237</v>
      </c>
      <c r="B789" s="13" t="s">
        <v>5238</v>
      </c>
      <c r="C789" s="13" t="s">
        <v>91</v>
      </c>
      <c r="D789" s="13" t="s">
        <v>5136</v>
      </c>
      <c r="E789" s="13" t="s">
        <v>93</v>
      </c>
      <c r="F789" s="13" t="s">
        <v>5239</v>
      </c>
      <c r="G789" s="20" t="str">
        <f>HYPERLINK("https://semena-nn.ru/catalog/33/888000007818","Фото")</f>
        <v>Фото</v>
      </c>
      <c r="H789" s="18">
        <v>30.5</v>
      </c>
      <c r="I789" s="27"/>
      <c r="J789" s="13">
        <f>H789*I789</f>
        <v>0</v>
      </c>
    </row>
    <row r="790" spans="1:10" ht="12" customHeight="1">
      <c r="A790" s="13" t="s">
        <v>1246</v>
      </c>
      <c r="B790" s="13" t="s">
        <v>1247</v>
      </c>
      <c r="C790" s="13" t="s">
        <v>91</v>
      </c>
      <c r="D790" s="13" t="s">
        <v>697</v>
      </c>
      <c r="E790" s="13" t="s">
        <v>93</v>
      </c>
      <c r="F790" s="13" t="s">
        <v>1248</v>
      </c>
      <c r="G790" s="20" t="str">
        <f>HYPERLINK("http://semena-nn.ru/catalog/33/1120451","Фото")</f>
        <v>Фото</v>
      </c>
      <c r="H790" s="19">
        <v>36.35</v>
      </c>
      <c r="I790" s="27"/>
      <c r="J790" s="13">
        <f>H790*I790</f>
        <v>0</v>
      </c>
    </row>
    <row r="791" spans="1:10" ht="12" customHeight="1">
      <c r="A791" s="13" t="s">
        <v>6128</v>
      </c>
      <c r="B791" s="13" t="s">
        <v>6129</v>
      </c>
      <c r="C791" s="13" t="s">
        <v>91</v>
      </c>
      <c r="D791" s="13" t="s">
        <v>6021</v>
      </c>
      <c r="E791" s="13" t="s">
        <v>93</v>
      </c>
      <c r="F791" s="13" t="s">
        <v>6130</v>
      </c>
      <c r="G791" s="20" t="str">
        <f>HYPERLINK("http://www.semena-nn.ru/catalog/33/1310744","Фото")</f>
        <v>Фото</v>
      </c>
      <c r="H791" s="18">
        <v>42.3</v>
      </c>
      <c r="I791" s="27"/>
      <c r="J791" s="13">
        <f>H791*I791</f>
        <v>0</v>
      </c>
    </row>
    <row r="792" spans="1:10" ht="12" customHeight="1">
      <c r="A792" s="13" t="s">
        <v>6131</v>
      </c>
      <c r="B792" s="13" t="s">
        <v>6132</v>
      </c>
      <c r="C792" s="13" t="s">
        <v>91</v>
      </c>
      <c r="D792" s="13" t="s">
        <v>6021</v>
      </c>
      <c r="E792" s="13" t="s">
        <v>93</v>
      </c>
      <c r="F792" s="13" t="s">
        <v>6133</v>
      </c>
      <c r="G792" s="20" t="str">
        <f>HYPERLINK("http://www.semena-nn.ru/catalog/33/1315774","Фото")</f>
        <v>Фото</v>
      </c>
      <c r="H792" s="18">
        <v>42.3</v>
      </c>
      <c r="I792" s="27"/>
      <c r="J792" s="13">
        <f>H792*I792</f>
        <v>0</v>
      </c>
    </row>
    <row r="793" spans="1:10" ht="12" customHeight="1">
      <c r="A793" s="13" t="s">
        <v>3233</v>
      </c>
      <c r="B793" s="13" t="s">
        <v>3234</v>
      </c>
      <c r="C793" s="13" t="s">
        <v>91</v>
      </c>
      <c r="D793" s="13" t="s">
        <v>697</v>
      </c>
      <c r="E793" s="13" t="s">
        <v>3064</v>
      </c>
      <c r="F793" s="13" t="s">
        <v>3235</v>
      </c>
      <c r="G793" s="20" t="str">
        <f>HYPERLINK("http://www.semena-nn.ru/catalog/33/1288651","Фото")</f>
        <v>Фото</v>
      </c>
      <c r="H793" s="19">
        <v>17.850000000000001</v>
      </c>
      <c r="I793" s="27"/>
      <c r="J793" s="13">
        <f>H793*I793</f>
        <v>0</v>
      </c>
    </row>
    <row r="794" spans="1:10" ht="12" customHeight="1">
      <c r="A794" s="13" t="s">
        <v>2817</v>
      </c>
      <c r="B794" s="13" t="s">
        <v>2818</v>
      </c>
      <c r="C794" s="13" t="s">
        <v>91</v>
      </c>
      <c r="D794" s="13" t="s">
        <v>697</v>
      </c>
      <c r="E794" s="13" t="s">
        <v>2636</v>
      </c>
      <c r="F794" s="13" t="s">
        <v>2819</v>
      </c>
      <c r="G794" s="20" t="str">
        <f>HYPERLINK("http://semena-nn.ru/catalog/33/3098","Фото")</f>
        <v>Фото</v>
      </c>
      <c r="H794" s="18">
        <v>15.5</v>
      </c>
      <c r="I794" s="27"/>
      <c r="J794" s="13">
        <f>H794*I794</f>
        <v>0</v>
      </c>
    </row>
    <row r="795" spans="1:10" ht="12" customHeight="1">
      <c r="A795" s="13" t="s">
        <v>1249</v>
      </c>
      <c r="B795" s="13" t="s">
        <v>1250</v>
      </c>
      <c r="C795" s="13" t="s">
        <v>91</v>
      </c>
      <c r="D795" s="13" t="s">
        <v>697</v>
      </c>
      <c r="E795" s="13" t="s">
        <v>93</v>
      </c>
      <c r="F795" s="13" t="s">
        <v>1251</v>
      </c>
      <c r="G795" s="20" t="str">
        <f>HYPERLINK("http://semena-nn.ru/catalog/2/33/big_4087.jpg","Фото")</f>
        <v>Фото</v>
      </c>
      <c r="H795" s="18">
        <v>24.2</v>
      </c>
      <c r="I795" s="27"/>
      <c r="J795" s="13">
        <f>H795*I795</f>
        <v>0</v>
      </c>
    </row>
    <row r="796" spans="1:10" ht="12" customHeight="1">
      <c r="A796" s="13" t="s">
        <v>3827</v>
      </c>
      <c r="B796" s="13" t="s">
        <v>3828</v>
      </c>
      <c r="C796" s="13" t="s">
        <v>91</v>
      </c>
      <c r="D796" s="13" t="s">
        <v>3475</v>
      </c>
      <c r="E796" s="13" t="s">
        <v>93</v>
      </c>
      <c r="F796" s="13" t="s">
        <v>3829</v>
      </c>
      <c r="G796" s="20" t="str">
        <f>HYPERLINK("http://semena-nn.ru/catalog/33/1117505","Фото")</f>
        <v>Фото</v>
      </c>
      <c r="H796" s="18">
        <v>55.3</v>
      </c>
      <c r="I796" s="27"/>
      <c r="J796" s="13">
        <f>H796*I796</f>
        <v>0</v>
      </c>
    </row>
    <row r="797" spans="1:10" ht="12" customHeight="1">
      <c r="A797" s="13" t="s">
        <v>6134</v>
      </c>
      <c r="B797" s="13" t="s">
        <v>6135</v>
      </c>
      <c r="C797" s="13" t="s">
        <v>91</v>
      </c>
      <c r="D797" s="13" t="s">
        <v>6021</v>
      </c>
      <c r="E797" s="13" t="s">
        <v>93</v>
      </c>
      <c r="F797" s="13" t="s">
        <v>6136</v>
      </c>
      <c r="G797" s="20" t="str">
        <f>HYPERLINK("http://www.semena-nn.ru/catalog/33/92727","Фото")</f>
        <v>Фото</v>
      </c>
      <c r="H797" s="18">
        <v>41.1</v>
      </c>
      <c r="I797" s="27"/>
      <c r="J797" s="13">
        <f>H797*I797</f>
        <v>0</v>
      </c>
    </row>
    <row r="798" spans="1:10" ht="12" customHeight="1">
      <c r="A798" s="13" t="s">
        <v>3830</v>
      </c>
      <c r="B798" s="13" t="s">
        <v>3831</v>
      </c>
      <c r="C798" s="13" t="s">
        <v>91</v>
      </c>
      <c r="D798" s="13" t="s">
        <v>3475</v>
      </c>
      <c r="E798" s="13" t="s">
        <v>93</v>
      </c>
      <c r="F798" s="13" t="s">
        <v>3832</v>
      </c>
      <c r="G798" s="20" t="str">
        <f>HYPERLINK("http://semena-nn.ru/catalog/33/111379","Фото")</f>
        <v>Фото</v>
      </c>
      <c r="H798" s="19">
        <v>51.75</v>
      </c>
      <c r="I798" s="27"/>
      <c r="J798" s="13">
        <f>H798*I798</f>
        <v>0</v>
      </c>
    </row>
    <row r="799" spans="1:10" ht="12" customHeight="1">
      <c r="A799" s="13" t="s">
        <v>1252</v>
      </c>
      <c r="B799" s="13" t="s">
        <v>1253</v>
      </c>
      <c r="C799" s="13" t="s">
        <v>91</v>
      </c>
      <c r="D799" s="13" t="s">
        <v>697</v>
      </c>
      <c r="E799" s="13" t="s">
        <v>93</v>
      </c>
      <c r="F799" s="13" t="s">
        <v>1254</v>
      </c>
      <c r="G799" s="20" t="str">
        <f>HYPERLINK("http://www.semena-nn.ru/catalog/33/1309930","Фото")</f>
        <v>Фото</v>
      </c>
      <c r="H799" s="18">
        <v>32.700000000000003</v>
      </c>
      <c r="I799" s="27"/>
      <c r="J799" s="13">
        <f>H799*I799</f>
        <v>0</v>
      </c>
    </row>
    <row r="800" spans="1:10" ht="12" customHeight="1">
      <c r="A800" s="13" t="s">
        <v>3833</v>
      </c>
      <c r="B800" s="13" t="s">
        <v>3834</v>
      </c>
      <c r="C800" s="13" t="s">
        <v>91</v>
      </c>
      <c r="D800" s="13" t="s">
        <v>3475</v>
      </c>
      <c r="E800" s="13" t="s">
        <v>93</v>
      </c>
      <c r="F800" s="13" t="s">
        <v>3835</v>
      </c>
      <c r="G800" s="20" t="str">
        <f>HYPERLINK("https://semena-nn.ru/catalog/33/999000008940","Фото")</f>
        <v>Фото</v>
      </c>
      <c r="H800" s="18">
        <v>69.400000000000006</v>
      </c>
      <c r="I800" s="27"/>
      <c r="J800" s="13">
        <f>H800*I800</f>
        <v>0</v>
      </c>
    </row>
    <row r="801" spans="1:10" ht="12" customHeight="1">
      <c r="A801" s="13" t="s">
        <v>7901</v>
      </c>
      <c r="B801" s="13" t="s">
        <v>7902</v>
      </c>
      <c r="C801" s="13" t="s">
        <v>91</v>
      </c>
      <c r="D801" s="13" t="s">
        <v>7728</v>
      </c>
      <c r="E801" s="13" t="s">
        <v>93</v>
      </c>
      <c r="F801" s="13" t="s">
        <v>7903</v>
      </c>
      <c r="G801" s="20" t="str">
        <f>HYPERLINK("http://semena-nn.ru/catalog/33/101363","Фото")</f>
        <v>Фото</v>
      </c>
      <c r="H801" s="19">
        <v>32.35</v>
      </c>
      <c r="I801" s="27"/>
      <c r="J801" s="13">
        <f>H801*I801</f>
        <v>0</v>
      </c>
    </row>
    <row r="802" spans="1:10" ht="12" customHeight="1">
      <c r="A802" s="13" t="s">
        <v>6137</v>
      </c>
      <c r="B802" s="13" t="s">
        <v>6138</v>
      </c>
      <c r="C802" s="13" t="s">
        <v>91</v>
      </c>
      <c r="D802" s="13" t="s">
        <v>6021</v>
      </c>
      <c r="E802" s="13" t="s">
        <v>93</v>
      </c>
      <c r="F802" s="13" t="s">
        <v>6139</v>
      </c>
      <c r="G802" s="20" t="str">
        <f>HYPERLINK("http://semena-nn.ru/catalog/33/92407","Фото")</f>
        <v>Фото</v>
      </c>
      <c r="H802" s="18">
        <v>41.1</v>
      </c>
      <c r="I802" s="27"/>
      <c r="J802" s="13">
        <f>H802*I802</f>
        <v>0</v>
      </c>
    </row>
    <row r="803" spans="1:10" ht="12" customHeight="1">
      <c r="A803" s="13" t="s">
        <v>6140</v>
      </c>
      <c r="B803" s="13" t="s">
        <v>6141</v>
      </c>
      <c r="C803" s="13" t="s">
        <v>91</v>
      </c>
      <c r="D803" s="13" t="s">
        <v>6021</v>
      </c>
      <c r="E803" s="13" t="s">
        <v>93</v>
      </c>
      <c r="F803" s="13" t="s">
        <v>6142</v>
      </c>
      <c r="G803" s="20" t="str">
        <f>HYPERLINK("http://semena-nn.ru/catalog/33/105050","Фото")</f>
        <v>Фото</v>
      </c>
      <c r="H803" s="18">
        <v>39.9</v>
      </c>
      <c r="I803" s="27"/>
      <c r="J803" s="13">
        <f>H803*I803</f>
        <v>0</v>
      </c>
    </row>
    <row r="804" spans="1:10" ht="12" customHeight="1">
      <c r="A804" s="13" t="s">
        <v>6143</v>
      </c>
      <c r="B804" s="13" t="s">
        <v>6144</v>
      </c>
      <c r="C804" s="13" t="s">
        <v>91</v>
      </c>
      <c r="D804" s="13" t="s">
        <v>6021</v>
      </c>
      <c r="E804" s="13" t="s">
        <v>93</v>
      </c>
      <c r="F804" s="13" t="s">
        <v>6145</v>
      </c>
      <c r="G804" s="20" t="str">
        <f>HYPERLINK("http://semena-nn.ru/catalog/33/103153","Фото")</f>
        <v>Фото</v>
      </c>
      <c r="H804" s="19">
        <v>38.65</v>
      </c>
      <c r="I804" s="27"/>
      <c r="J804" s="13">
        <f>H804*I804</f>
        <v>0</v>
      </c>
    </row>
    <row r="805" spans="1:10" ht="12" customHeight="1">
      <c r="A805" s="13" t="s">
        <v>3836</v>
      </c>
      <c r="B805" s="13" t="s">
        <v>3837</v>
      </c>
      <c r="C805" s="13" t="s">
        <v>91</v>
      </c>
      <c r="D805" s="13" t="s">
        <v>3475</v>
      </c>
      <c r="E805" s="13" t="s">
        <v>93</v>
      </c>
      <c r="F805" s="13" t="s">
        <v>3838</v>
      </c>
      <c r="G805" s="20" t="str">
        <f>HYPERLINK("http://semena-nn.ru/admin/catalog/999000004101","Фото")</f>
        <v>Фото</v>
      </c>
      <c r="H805" s="18">
        <v>62.3</v>
      </c>
      <c r="I805" s="27"/>
      <c r="J805" s="13">
        <f>H805*I805</f>
        <v>0</v>
      </c>
    </row>
    <row r="806" spans="1:10" ht="12" customHeight="1">
      <c r="A806" s="13" t="s">
        <v>6989</v>
      </c>
      <c r="B806" s="13" t="s">
        <v>6990</v>
      </c>
      <c r="C806" s="13" t="s">
        <v>91</v>
      </c>
      <c r="D806" s="13" t="s">
        <v>6927</v>
      </c>
      <c r="E806" s="13" t="s">
        <v>93</v>
      </c>
      <c r="F806" s="13" t="s">
        <v>6991</v>
      </c>
      <c r="G806" s="20" t="str">
        <f>HYPERLINK("http://www.semena-nn.ru/catalog/33/1310397","Фото")</f>
        <v>Фото</v>
      </c>
      <c r="H806" s="19">
        <v>39.85</v>
      </c>
      <c r="I806" s="27"/>
      <c r="J806" s="13">
        <f>H806*I806</f>
        <v>0</v>
      </c>
    </row>
    <row r="807" spans="1:10" ht="12" customHeight="1">
      <c r="A807" s="13" t="s">
        <v>1255</v>
      </c>
      <c r="B807" s="13" t="s">
        <v>1256</v>
      </c>
      <c r="C807" s="13" t="s">
        <v>91</v>
      </c>
      <c r="D807" s="13" t="s">
        <v>697</v>
      </c>
      <c r="E807" s="13" t="s">
        <v>93</v>
      </c>
      <c r="F807" s="13" t="s">
        <v>1257</v>
      </c>
      <c r="G807" s="20" t="str">
        <f>HYPERLINK("http://semena-nn.ru/catalog/2/33/big_1119995.jpg","Фото")</f>
        <v>Фото</v>
      </c>
      <c r="H807" s="18">
        <v>32.700000000000003</v>
      </c>
      <c r="I807" s="27"/>
      <c r="J807" s="13">
        <f>H807*I807</f>
        <v>0</v>
      </c>
    </row>
    <row r="808" spans="1:10" ht="12" customHeight="1">
      <c r="A808" s="13" t="s">
        <v>3839</v>
      </c>
      <c r="B808" s="13" t="s">
        <v>3840</v>
      </c>
      <c r="C808" s="13" t="s">
        <v>91</v>
      </c>
      <c r="D808" s="13" t="s">
        <v>3475</v>
      </c>
      <c r="E808" s="13" t="s">
        <v>93</v>
      </c>
      <c r="F808" s="17" t="s">
        <v>3841</v>
      </c>
      <c r="G808" s="20" t="str">
        <f>HYPERLINK("https://semena-nn.ru/catalog/33/999000012673","Фото")</f>
        <v>Фото</v>
      </c>
      <c r="H808" s="18">
        <v>27.8</v>
      </c>
      <c r="I808" s="27"/>
      <c r="J808" s="13">
        <f>H808*I808</f>
        <v>0</v>
      </c>
    </row>
    <row r="809" spans="1:10" ht="12" customHeight="1">
      <c r="A809" s="13" t="s">
        <v>3842</v>
      </c>
      <c r="B809" s="13" t="s">
        <v>3843</v>
      </c>
      <c r="C809" s="13" t="s">
        <v>91</v>
      </c>
      <c r="D809" s="13" t="s">
        <v>3475</v>
      </c>
      <c r="E809" s="13" t="s">
        <v>93</v>
      </c>
      <c r="F809" s="13" t="s">
        <v>3844</v>
      </c>
      <c r="G809" s="20" t="str">
        <f>HYPERLINK("http://semena-nn.ru/admin/catalog/1290859","Фото")</f>
        <v>Фото</v>
      </c>
      <c r="H809" s="18">
        <v>44.7</v>
      </c>
      <c r="I809" s="27"/>
      <c r="J809" s="13">
        <f>H809*I809</f>
        <v>0</v>
      </c>
    </row>
    <row r="810" spans="1:10" ht="12" customHeight="1">
      <c r="A810" s="13" t="s">
        <v>2820</v>
      </c>
      <c r="B810" s="13" t="s">
        <v>2821</v>
      </c>
      <c r="C810" s="13" t="s">
        <v>91</v>
      </c>
      <c r="D810" s="13" t="s">
        <v>697</v>
      </c>
      <c r="E810" s="13" t="s">
        <v>2636</v>
      </c>
      <c r="F810" s="13" t="s">
        <v>2822</v>
      </c>
      <c r="G810" s="20" t="str">
        <f>HYPERLINK("http://semena-nn.ru/catalog/33/1118522","Фото")</f>
        <v>Фото</v>
      </c>
      <c r="H810" s="18">
        <v>8.3000000000000007</v>
      </c>
      <c r="I810" s="27"/>
      <c r="J810" s="13">
        <f>H810*I810</f>
        <v>0</v>
      </c>
    </row>
    <row r="811" spans="1:10" ht="12" customHeight="1">
      <c r="A811" s="13" t="s">
        <v>7904</v>
      </c>
      <c r="B811" s="13" t="s">
        <v>7905</v>
      </c>
      <c r="C811" s="13" t="s">
        <v>91</v>
      </c>
      <c r="D811" s="13" t="s">
        <v>7728</v>
      </c>
      <c r="E811" s="13" t="s">
        <v>93</v>
      </c>
      <c r="F811" s="13" t="s">
        <v>7906</v>
      </c>
      <c r="G811" s="20" t="str">
        <f>HYPERLINK("https://semena-nn.ru/catalog/33/1120377","Фото")</f>
        <v>Фото</v>
      </c>
      <c r="H811" s="19">
        <v>21.95</v>
      </c>
      <c r="I811" s="27"/>
      <c r="J811" s="13">
        <f>H811*I811</f>
        <v>0</v>
      </c>
    </row>
    <row r="812" spans="1:10" ht="12" customHeight="1">
      <c r="A812" s="13" t="s">
        <v>3845</v>
      </c>
      <c r="B812" s="13" t="s">
        <v>3846</v>
      </c>
      <c r="C812" s="13" t="s">
        <v>91</v>
      </c>
      <c r="D812" s="13" t="s">
        <v>3475</v>
      </c>
      <c r="E812" s="13" t="s">
        <v>93</v>
      </c>
      <c r="F812" s="13" t="s">
        <v>3847</v>
      </c>
      <c r="G812" s="20" t="str">
        <f>HYPERLINK("http://www.semena-nn.ru/catalog/33/1123914","Фото")</f>
        <v>Фото</v>
      </c>
      <c r="H812" s="18">
        <v>38.6</v>
      </c>
      <c r="I812" s="27"/>
      <c r="J812" s="13">
        <f>H812*I812</f>
        <v>0</v>
      </c>
    </row>
    <row r="813" spans="1:10" ht="12" customHeight="1">
      <c r="A813" s="13" t="s">
        <v>7258</v>
      </c>
      <c r="B813" s="13" t="s">
        <v>7259</v>
      </c>
      <c r="C813" s="13" t="s">
        <v>91</v>
      </c>
      <c r="D813" s="13" t="s">
        <v>7148</v>
      </c>
      <c r="E813" s="13" t="s">
        <v>93</v>
      </c>
      <c r="F813" s="13"/>
      <c r="G813" s="13"/>
      <c r="H813" s="18">
        <v>75.599999999999994</v>
      </c>
      <c r="I813" s="27"/>
      <c r="J813" s="13">
        <f>H813*I813</f>
        <v>0</v>
      </c>
    </row>
    <row r="814" spans="1:10" ht="12" customHeight="1">
      <c r="A814" s="13" t="s">
        <v>6146</v>
      </c>
      <c r="B814" s="13" t="s">
        <v>6147</v>
      </c>
      <c r="C814" s="13" t="s">
        <v>91</v>
      </c>
      <c r="D814" s="13" t="s">
        <v>6021</v>
      </c>
      <c r="E814" s="13" t="s">
        <v>93</v>
      </c>
      <c r="F814" s="13" t="s">
        <v>6148</v>
      </c>
      <c r="G814" s="20" t="str">
        <f>HYPERLINK("http://semena-nn.ru/catalog/33/112586","Фото")</f>
        <v>Фото</v>
      </c>
      <c r="H814" s="18">
        <v>43.5</v>
      </c>
      <c r="I814" s="27"/>
      <c r="J814" s="13">
        <f>H814*I814</f>
        <v>0</v>
      </c>
    </row>
    <row r="815" spans="1:10" ht="12" customHeight="1">
      <c r="A815" s="13" t="s">
        <v>3848</v>
      </c>
      <c r="B815" s="13" t="s">
        <v>3849</v>
      </c>
      <c r="C815" s="13" t="s">
        <v>91</v>
      </c>
      <c r="D815" s="13" t="s">
        <v>3475</v>
      </c>
      <c r="E815" s="13" t="s">
        <v>93</v>
      </c>
      <c r="F815" s="13" t="s">
        <v>3850</v>
      </c>
      <c r="G815" s="20" t="str">
        <f>HYPERLINK("http://semena-nn.ru/catalog/33/1303867","Фото")</f>
        <v>Фото</v>
      </c>
      <c r="H815" s="18">
        <v>84.4</v>
      </c>
      <c r="I815" s="27"/>
      <c r="J815" s="13">
        <f>H815*I815</f>
        <v>0</v>
      </c>
    </row>
    <row r="816" spans="1:10" ht="12" customHeight="1">
      <c r="A816" s="13" t="s">
        <v>6149</v>
      </c>
      <c r="B816" s="13" t="s">
        <v>6150</v>
      </c>
      <c r="C816" s="13" t="s">
        <v>91</v>
      </c>
      <c r="D816" s="13" t="s">
        <v>6021</v>
      </c>
      <c r="E816" s="13" t="s">
        <v>93</v>
      </c>
      <c r="F816" s="13" t="s">
        <v>6151</v>
      </c>
      <c r="G816" s="20" t="str">
        <f>HYPERLINK("http://www.semena-nn.ru/catalog/33/99336","Фото")</f>
        <v>Фото</v>
      </c>
      <c r="H816" s="18">
        <v>45.9</v>
      </c>
      <c r="I816" s="27"/>
      <c r="J816" s="13">
        <f>H816*I816</f>
        <v>0</v>
      </c>
    </row>
    <row r="817" spans="1:10" ht="12" customHeight="1">
      <c r="A817" s="13" t="s">
        <v>6992</v>
      </c>
      <c r="B817" s="13" t="s">
        <v>6993</v>
      </c>
      <c r="C817" s="13" t="s">
        <v>91</v>
      </c>
      <c r="D817" s="13" t="s">
        <v>6994</v>
      </c>
      <c r="E817" s="13" t="s">
        <v>93</v>
      </c>
      <c r="F817" s="13" t="s">
        <v>6995</v>
      </c>
      <c r="G817" s="20" t="str">
        <f>HYPERLINK("https://semena-nn.ru/catalog/33/999000006151","Фото")</f>
        <v>Фото</v>
      </c>
      <c r="H817" s="15">
        <v>87</v>
      </c>
      <c r="I817" s="27"/>
      <c r="J817" s="13">
        <f>H817*I817</f>
        <v>0</v>
      </c>
    </row>
    <row r="818" spans="1:10" ht="12" customHeight="1">
      <c r="A818" s="13" t="s">
        <v>6152</v>
      </c>
      <c r="B818" s="13" t="s">
        <v>6153</v>
      </c>
      <c r="C818" s="13" t="s">
        <v>91</v>
      </c>
      <c r="D818" s="13" t="s">
        <v>6021</v>
      </c>
      <c r="E818" s="13" t="s">
        <v>93</v>
      </c>
      <c r="F818" s="13" t="s">
        <v>6154</v>
      </c>
      <c r="G818" s="20" t="str">
        <f>HYPERLINK("http://semena-nn.ru/catalog/33/99065","Фото")</f>
        <v>Фото</v>
      </c>
      <c r="H818" s="18">
        <v>42.3</v>
      </c>
      <c r="I818" s="27"/>
      <c r="J818" s="13">
        <f>H818*I818</f>
        <v>0</v>
      </c>
    </row>
    <row r="819" spans="1:10" ht="12" customHeight="1">
      <c r="A819" s="13" t="s">
        <v>6495</v>
      </c>
      <c r="B819" s="13" t="s">
        <v>6496</v>
      </c>
      <c r="C819" s="13" t="s">
        <v>91</v>
      </c>
      <c r="D819" s="13" t="s">
        <v>87</v>
      </c>
      <c r="E819" s="13" t="s">
        <v>93</v>
      </c>
      <c r="F819" s="13" t="s">
        <v>6497</v>
      </c>
      <c r="G819" s="20" t="str">
        <f>HYPERLINK("http://www.semena-nn.ru/catalog/33/109050","Фото")</f>
        <v>Фото</v>
      </c>
      <c r="H819" s="18">
        <v>59.2</v>
      </c>
      <c r="I819" s="27"/>
      <c r="J819" s="13">
        <f>H819*I819</f>
        <v>0</v>
      </c>
    </row>
    <row r="820" spans="1:10" ht="12" customHeight="1">
      <c r="A820" s="13" t="s">
        <v>8980</v>
      </c>
      <c r="B820" s="13" t="s">
        <v>8981</v>
      </c>
      <c r="C820" s="13" t="s">
        <v>91</v>
      </c>
      <c r="D820" s="13" t="s">
        <v>8717</v>
      </c>
      <c r="E820" s="13" t="s">
        <v>2636</v>
      </c>
      <c r="F820" s="13" t="s">
        <v>8982</v>
      </c>
      <c r="G820" s="20" t="str">
        <f>HYPERLINK("https://semena-nn.ru/catalog/33/1309702","Фото")</f>
        <v>Фото</v>
      </c>
      <c r="H820" s="18">
        <v>57.2</v>
      </c>
      <c r="I820" s="27"/>
      <c r="J820" s="13">
        <f>H820*I820</f>
        <v>0</v>
      </c>
    </row>
    <row r="821" spans="1:10" ht="12" customHeight="1">
      <c r="A821" s="13" t="s">
        <v>3851</v>
      </c>
      <c r="B821" s="13" t="s">
        <v>3852</v>
      </c>
      <c r="C821" s="13" t="s">
        <v>91</v>
      </c>
      <c r="D821" s="13" t="s">
        <v>3475</v>
      </c>
      <c r="E821" s="13" t="s">
        <v>93</v>
      </c>
      <c r="F821" s="13" t="s">
        <v>3853</v>
      </c>
      <c r="G821" s="20" t="str">
        <f>HYPERLINK("http://semena-nn.ru/catalog/33/1282635","Фото")</f>
        <v>Фото</v>
      </c>
      <c r="H821" s="18">
        <v>84.8</v>
      </c>
      <c r="I821" s="27"/>
      <c r="J821" s="13">
        <f>H821*I821</f>
        <v>0</v>
      </c>
    </row>
    <row r="822" spans="1:10" ht="12" customHeight="1">
      <c r="A822" s="13" t="s">
        <v>6155</v>
      </c>
      <c r="B822" s="13" t="s">
        <v>6156</v>
      </c>
      <c r="C822" s="13" t="s">
        <v>91</v>
      </c>
      <c r="D822" s="13" t="s">
        <v>6021</v>
      </c>
      <c r="E822" s="13" t="s">
        <v>93</v>
      </c>
      <c r="F822" s="13" t="s">
        <v>6157</v>
      </c>
      <c r="G822" s="20" t="str">
        <f>HYPERLINK("http://semena-nn.ru/catalog/33/112957","Фото")</f>
        <v>Фото</v>
      </c>
      <c r="H822" s="18">
        <v>42.3</v>
      </c>
      <c r="I822" s="27"/>
      <c r="J822" s="13">
        <f>H822*I822</f>
        <v>0</v>
      </c>
    </row>
    <row r="823" spans="1:10" ht="12" customHeight="1">
      <c r="A823" s="13" t="s">
        <v>3854</v>
      </c>
      <c r="B823" s="13" t="s">
        <v>3855</v>
      </c>
      <c r="C823" s="13" t="s">
        <v>91</v>
      </c>
      <c r="D823" s="13" t="s">
        <v>3475</v>
      </c>
      <c r="E823" s="13" t="s">
        <v>93</v>
      </c>
      <c r="F823" s="13" t="s">
        <v>3856</v>
      </c>
      <c r="G823" s="20" t="str">
        <f>HYPERLINK("http://www.semena-nn.ru/catalog/33/1303868","Фото")</f>
        <v>Фото</v>
      </c>
      <c r="H823" s="18">
        <v>92.5</v>
      </c>
      <c r="I823" s="27"/>
      <c r="J823" s="13">
        <f>H823*I823</f>
        <v>0</v>
      </c>
    </row>
    <row r="824" spans="1:10" ht="12" customHeight="1">
      <c r="A824" s="13" t="s">
        <v>7907</v>
      </c>
      <c r="B824" s="13" t="s">
        <v>7908</v>
      </c>
      <c r="C824" s="13" t="s">
        <v>91</v>
      </c>
      <c r="D824" s="13" t="s">
        <v>7728</v>
      </c>
      <c r="E824" s="13" t="s">
        <v>93</v>
      </c>
      <c r="F824" s="13" t="s">
        <v>7909</v>
      </c>
      <c r="G824" s="20" t="str">
        <f>HYPERLINK("http://semena-nn.ru/catalog/2/33/big_1119163.jpg","Фото")</f>
        <v>Фото</v>
      </c>
      <c r="H824" s="15">
        <v>27</v>
      </c>
      <c r="I824" s="27"/>
      <c r="J824" s="13">
        <f>H824*I824</f>
        <v>0</v>
      </c>
    </row>
    <row r="825" spans="1:10" ht="12" customHeight="1">
      <c r="A825" s="13" t="s">
        <v>7910</v>
      </c>
      <c r="B825" s="13" t="s">
        <v>7911</v>
      </c>
      <c r="C825" s="13" t="s">
        <v>91</v>
      </c>
      <c r="D825" s="13" t="s">
        <v>7728</v>
      </c>
      <c r="E825" s="13" t="s">
        <v>93</v>
      </c>
      <c r="F825" s="13" t="s">
        <v>7912</v>
      </c>
      <c r="G825" s="20" t="str">
        <f>HYPERLINK("http://www.semena-nn.ru/catalog/33/106850","Фото")</f>
        <v>Фото</v>
      </c>
      <c r="H825" s="19">
        <v>26.25</v>
      </c>
      <c r="I825" s="27"/>
      <c r="J825" s="13">
        <f>H825*I825</f>
        <v>0</v>
      </c>
    </row>
    <row r="826" spans="1:10" ht="12" customHeight="1">
      <c r="A826" s="13" t="s">
        <v>8818</v>
      </c>
      <c r="B826" s="13" t="s">
        <v>8819</v>
      </c>
      <c r="C826" s="13" t="s">
        <v>91</v>
      </c>
      <c r="D826" s="13" t="s">
        <v>8717</v>
      </c>
      <c r="E826" s="13" t="s">
        <v>93</v>
      </c>
      <c r="F826" s="13" t="s">
        <v>8820</v>
      </c>
      <c r="G826" s="20" t="str">
        <f>HYPERLINK("http://semena-nn.ru/catalog/33/1312502","Фото")</f>
        <v>Фото</v>
      </c>
      <c r="H826" s="18">
        <v>97.3</v>
      </c>
      <c r="I826" s="27"/>
      <c r="J826" s="13">
        <f>H826*I826</f>
        <v>0</v>
      </c>
    </row>
    <row r="827" spans="1:10" ht="12" customHeight="1">
      <c r="A827" s="13" t="s">
        <v>110</v>
      </c>
      <c r="B827" s="13" t="s">
        <v>111</v>
      </c>
      <c r="C827" s="13" t="s">
        <v>91</v>
      </c>
      <c r="D827" s="13" t="s">
        <v>92</v>
      </c>
      <c r="E827" s="13" t="s">
        <v>93</v>
      </c>
      <c r="F827" s="13" t="s">
        <v>112</v>
      </c>
      <c r="G827" s="20" t="str">
        <f>HYPERLINK("https://semena-nn.ru/catalog/33/888000000211","Фото")</f>
        <v>Фото</v>
      </c>
      <c r="H827" s="18">
        <v>61.4</v>
      </c>
      <c r="I827" s="27"/>
      <c r="J827" s="13">
        <f>H827*I827</f>
        <v>0</v>
      </c>
    </row>
    <row r="828" spans="1:10" ht="12" customHeight="1">
      <c r="A828" s="13" t="s">
        <v>6158</v>
      </c>
      <c r="B828" s="13" t="s">
        <v>6159</v>
      </c>
      <c r="C828" s="13" t="s">
        <v>91</v>
      </c>
      <c r="D828" s="13" t="s">
        <v>6021</v>
      </c>
      <c r="E828" s="13" t="s">
        <v>93</v>
      </c>
      <c r="F828" s="13" t="s">
        <v>6160</v>
      </c>
      <c r="G828" s="20" t="str">
        <f>HYPERLINK("http://www.semena-nn.ru/catalog/33/103708","Фото")</f>
        <v>Фото</v>
      </c>
      <c r="H828" s="18">
        <v>45.9</v>
      </c>
      <c r="I828" s="27"/>
      <c r="J828" s="13">
        <f>H828*I828</f>
        <v>0</v>
      </c>
    </row>
    <row r="829" spans="1:10" ht="12" customHeight="1">
      <c r="A829" s="13" t="s">
        <v>113</v>
      </c>
      <c r="B829" s="13" t="s">
        <v>114</v>
      </c>
      <c r="C829" s="13" t="s">
        <v>91</v>
      </c>
      <c r="D829" s="13" t="s">
        <v>92</v>
      </c>
      <c r="E829" s="13" t="s">
        <v>93</v>
      </c>
      <c r="F829" s="13" t="s">
        <v>115</v>
      </c>
      <c r="G829" s="20" t="str">
        <f>HYPERLINK("https://semena-nn.ru/catalog/33/888000000212","Фото")</f>
        <v>Фото</v>
      </c>
      <c r="H829" s="18">
        <v>61.4</v>
      </c>
      <c r="I829" s="27"/>
      <c r="J829" s="13">
        <f>H829*I829</f>
        <v>0</v>
      </c>
    </row>
    <row r="830" spans="1:10" ht="12" customHeight="1">
      <c r="A830" s="13" t="s">
        <v>2823</v>
      </c>
      <c r="B830" s="13" t="s">
        <v>2824</v>
      </c>
      <c r="C830" s="13" t="s">
        <v>91</v>
      </c>
      <c r="D830" s="13" t="s">
        <v>697</v>
      </c>
      <c r="E830" s="13" t="s">
        <v>2636</v>
      </c>
      <c r="F830" s="13" t="s">
        <v>2825</v>
      </c>
      <c r="G830" s="20" t="str">
        <f>HYPERLINK("http://semena-nn.ru/catalog/33/96850","Фото")</f>
        <v>Фото</v>
      </c>
      <c r="H830" s="18">
        <v>14.8</v>
      </c>
      <c r="I830" s="27"/>
      <c r="J830" s="13">
        <f>H830*I830</f>
        <v>0</v>
      </c>
    </row>
    <row r="831" spans="1:10" ht="12" customHeight="1">
      <c r="A831" s="13" t="s">
        <v>3857</v>
      </c>
      <c r="B831" s="13" t="s">
        <v>3858</v>
      </c>
      <c r="C831" s="13" t="s">
        <v>91</v>
      </c>
      <c r="D831" s="13" t="s">
        <v>3475</v>
      </c>
      <c r="E831" s="13" t="s">
        <v>93</v>
      </c>
      <c r="F831" s="13" t="s">
        <v>3859</v>
      </c>
      <c r="G831" s="20" t="str">
        <f>HYPERLINK("https://semena-nn.ru/catalog/33/1310502","Фото")</f>
        <v>Фото</v>
      </c>
      <c r="H831" s="19">
        <v>37.65</v>
      </c>
      <c r="I831" s="27"/>
      <c r="J831" s="13">
        <f>H831*I831</f>
        <v>0</v>
      </c>
    </row>
    <row r="832" spans="1:10" ht="12" customHeight="1">
      <c r="A832" s="13" t="s">
        <v>7913</v>
      </c>
      <c r="B832" s="13" t="s">
        <v>7914</v>
      </c>
      <c r="C832" s="13" t="s">
        <v>91</v>
      </c>
      <c r="D832" s="13" t="s">
        <v>7728</v>
      </c>
      <c r="E832" s="13" t="s">
        <v>93</v>
      </c>
      <c r="F832" s="13" t="s">
        <v>7915</v>
      </c>
      <c r="G832" s="20" t="str">
        <f>HYPERLINK("http://semena-nn.ru/catalog/33/1291348","Фото")</f>
        <v>Фото</v>
      </c>
      <c r="H832" s="18">
        <v>52.6</v>
      </c>
      <c r="I832" s="27"/>
      <c r="J832" s="13">
        <f>H832*I832</f>
        <v>0</v>
      </c>
    </row>
    <row r="833" spans="1:10" ht="12" customHeight="1">
      <c r="A833" s="13" t="s">
        <v>6161</v>
      </c>
      <c r="B833" s="13" t="s">
        <v>6162</v>
      </c>
      <c r="C833" s="13" t="s">
        <v>91</v>
      </c>
      <c r="D833" s="13" t="s">
        <v>6021</v>
      </c>
      <c r="E833" s="13" t="s">
        <v>93</v>
      </c>
      <c r="F833" s="13" t="s">
        <v>6163</v>
      </c>
      <c r="G833" s="20" t="str">
        <f>HYPERLINK("http://www.semena-nn.ru/catalog/33/99257","Фото")</f>
        <v>Фото</v>
      </c>
      <c r="H833" s="18">
        <v>48.3</v>
      </c>
      <c r="I833" s="27"/>
      <c r="J833" s="13">
        <f>H833*I833</f>
        <v>0</v>
      </c>
    </row>
    <row r="834" spans="1:10" ht="12" customHeight="1">
      <c r="A834" s="13" t="s">
        <v>1258</v>
      </c>
      <c r="B834" s="13" t="s">
        <v>1259</v>
      </c>
      <c r="C834" s="13" t="s">
        <v>91</v>
      </c>
      <c r="D834" s="13" t="s">
        <v>697</v>
      </c>
      <c r="E834" s="13" t="s">
        <v>93</v>
      </c>
      <c r="F834" s="13" t="s">
        <v>1260</v>
      </c>
      <c r="G834" s="20" t="str">
        <f>HYPERLINK("https://semena-nn.ru/catalog/33/999000012062","Фото")</f>
        <v>Фото</v>
      </c>
      <c r="H834" s="19">
        <v>31.15</v>
      </c>
      <c r="I834" s="27"/>
      <c r="J834" s="13">
        <f>H834*I834</f>
        <v>0</v>
      </c>
    </row>
    <row r="835" spans="1:10" ht="12" customHeight="1">
      <c r="A835" s="13" t="s">
        <v>3860</v>
      </c>
      <c r="B835" s="13" t="s">
        <v>3861</v>
      </c>
      <c r="C835" s="13" t="s">
        <v>91</v>
      </c>
      <c r="D835" s="13" t="s">
        <v>3475</v>
      </c>
      <c r="E835" s="13" t="s">
        <v>93</v>
      </c>
      <c r="F835" s="13" t="s">
        <v>3862</v>
      </c>
      <c r="G835" s="20" t="str">
        <f>HYPERLINK("http://semena-nn.ru/catalog/33/99371","Фото")</f>
        <v>Фото</v>
      </c>
      <c r="H835" s="18">
        <v>72.900000000000006</v>
      </c>
      <c r="I835" s="27"/>
      <c r="J835" s="13">
        <f>H835*I835</f>
        <v>0</v>
      </c>
    </row>
    <row r="836" spans="1:10" ht="12" customHeight="1">
      <c r="A836" s="13" t="s">
        <v>3863</v>
      </c>
      <c r="B836" s="13" t="s">
        <v>3864</v>
      </c>
      <c r="C836" s="13" t="s">
        <v>91</v>
      </c>
      <c r="D836" s="13" t="s">
        <v>3475</v>
      </c>
      <c r="E836" s="13" t="s">
        <v>93</v>
      </c>
      <c r="F836" s="13" t="s">
        <v>3865</v>
      </c>
      <c r="G836" s="20" t="str">
        <f>HYPERLINK("https://semena-nn.ru/catalog/33/1123918","Фото")</f>
        <v>Фото</v>
      </c>
      <c r="H836" s="18">
        <v>18.7</v>
      </c>
      <c r="I836" s="27"/>
      <c r="J836" s="13">
        <f>H836*I836</f>
        <v>0</v>
      </c>
    </row>
    <row r="837" spans="1:10" ht="12" customHeight="1">
      <c r="A837" s="13" t="s">
        <v>1261</v>
      </c>
      <c r="B837" s="13" t="s">
        <v>1262</v>
      </c>
      <c r="C837" s="13" t="s">
        <v>91</v>
      </c>
      <c r="D837" s="13" t="s">
        <v>697</v>
      </c>
      <c r="E837" s="13" t="s">
        <v>93</v>
      </c>
      <c r="F837" s="17" t="s">
        <v>1263</v>
      </c>
      <c r="G837" s="20" t="str">
        <f>HYPERLINK("http://semena-nn.ru/catalog/33/1315380","Фото")</f>
        <v>Фото</v>
      </c>
      <c r="H837" s="19">
        <v>31.15</v>
      </c>
      <c r="I837" s="27"/>
      <c r="J837" s="13">
        <f>H837*I837</f>
        <v>0</v>
      </c>
    </row>
    <row r="838" spans="1:10" ht="12" customHeight="1">
      <c r="A838" s="13" t="s">
        <v>1264</v>
      </c>
      <c r="B838" s="13" t="s">
        <v>1265</v>
      </c>
      <c r="C838" s="13" t="s">
        <v>91</v>
      </c>
      <c r="D838" s="13" t="s">
        <v>697</v>
      </c>
      <c r="E838" s="13" t="s">
        <v>93</v>
      </c>
      <c r="F838" s="13" t="s">
        <v>1266</v>
      </c>
      <c r="G838" s="20" t="str">
        <f>HYPERLINK("http://semena-nn.ru/catalog/33/1315381","Фото")</f>
        <v>Фото</v>
      </c>
      <c r="H838" s="19">
        <v>31.15</v>
      </c>
      <c r="I838" s="27"/>
      <c r="J838" s="13">
        <f>H838*I838</f>
        <v>0</v>
      </c>
    </row>
    <row r="839" spans="1:10" ht="12" customHeight="1">
      <c r="A839" s="13" t="s">
        <v>6164</v>
      </c>
      <c r="B839" s="13" t="s">
        <v>6165</v>
      </c>
      <c r="C839" s="13" t="s">
        <v>91</v>
      </c>
      <c r="D839" s="13" t="s">
        <v>6021</v>
      </c>
      <c r="E839" s="13" t="s">
        <v>93</v>
      </c>
      <c r="F839" s="13" t="s">
        <v>6166</v>
      </c>
      <c r="G839" s="20" t="str">
        <f>HYPERLINK("http://www.semena-nn.ru/catalog/33/101564","Фото")</f>
        <v>Фото</v>
      </c>
      <c r="H839" s="19">
        <v>54.35</v>
      </c>
      <c r="I839" s="27"/>
      <c r="J839" s="13">
        <f>H839*I839</f>
        <v>0</v>
      </c>
    </row>
    <row r="840" spans="1:10" ht="12" customHeight="1">
      <c r="A840" s="13" t="s">
        <v>1267</v>
      </c>
      <c r="B840" s="13" t="s">
        <v>1268</v>
      </c>
      <c r="C840" s="13" t="s">
        <v>91</v>
      </c>
      <c r="D840" s="13" t="s">
        <v>697</v>
      </c>
      <c r="E840" s="13" t="s">
        <v>93</v>
      </c>
      <c r="F840" s="13" t="s">
        <v>1269</v>
      </c>
      <c r="G840" s="20" t="str">
        <f>HYPERLINK("http://semena-nn.ru/catalog/33/94312","Фото")</f>
        <v>Фото</v>
      </c>
      <c r="H840" s="18">
        <v>36.299999999999997</v>
      </c>
      <c r="I840" s="27"/>
      <c r="J840" s="13">
        <f>H840*I840</f>
        <v>0</v>
      </c>
    </row>
    <row r="841" spans="1:10" ht="12" customHeight="1">
      <c r="A841" s="13" t="s">
        <v>2826</v>
      </c>
      <c r="B841" s="13" t="s">
        <v>2827</v>
      </c>
      <c r="C841" s="13" t="s">
        <v>91</v>
      </c>
      <c r="D841" s="13" t="s">
        <v>697</v>
      </c>
      <c r="E841" s="13" t="s">
        <v>2636</v>
      </c>
      <c r="F841" s="13" t="s">
        <v>2828</v>
      </c>
      <c r="G841" s="20" t="str">
        <f>HYPERLINK("http://semena-nn.ru/catalog/33/80789","Фото")</f>
        <v>Фото</v>
      </c>
      <c r="H841" s="19">
        <v>11.95</v>
      </c>
      <c r="I841" s="27"/>
      <c r="J841" s="13">
        <f>H841*I841</f>
        <v>0</v>
      </c>
    </row>
    <row r="842" spans="1:10" ht="12" customHeight="1">
      <c r="A842" s="13" t="s">
        <v>3236</v>
      </c>
      <c r="B842" s="13" t="s">
        <v>3237</v>
      </c>
      <c r="C842" s="13" t="s">
        <v>91</v>
      </c>
      <c r="D842" s="13" t="s">
        <v>697</v>
      </c>
      <c r="E842" s="13" t="s">
        <v>3064</v>
      </c>
      <c r="F842" s="13" t="s">
        <v>3238</v>
      </c>
      <c r="G842" s="20" t="str">
        <f>HYPERLINK("http://semena-nn.ru/catalog/33/1288652","Фото")</f>
        <v>Фото</v>
      </c>
      <c r="H842" s="19">
        <v>12.65</v>
      </c>
      <c r="I842" s="27"/>
      <c r="J842" s="13">
        <f>H842*I842</f>
        <v>0</v>
      </c>
    </row>
    <row r="843" spans="1:10" ht="12" customHeight="1">
      <c r="A843" s="13" t="s">
        <v>2829</v>
      </c>
      <c r="B843" s="13" t="s">
        <v>2830</v>
      </c>
      <c r="C843" s="13" t="s">
        <v>91</v>
      </c>
      <c r="D843" s="13" t="s">
        <v>697</v>
      </c>
      <c r="E843" s="13" t="s">
        <v>2636</v>
      </c>
      <c r="F843" s="13" t="s">
        <v>2831</v>
      </c>
      <c r="G843" s="20" t="str">
        <f>HYPERLINK("http://semena-nn.ru/catalog/33/95110","Фото")</f>
        <v>Фото</v>
      </c>
      <c r="H843" s="19">
        <v>6.85</v>
      </c>
      <c r="I843" s="27"/>
      <c r="J843" s="13">
        <f>H843*I843</f>
        <v>0</v>
      </c>
    </row>
    <row r="844" spans="1:10" ht="12" customHeight="1">
      <c r="A844" s="13" t="s">
        <v>1270</v>
      </c>
      <c r="B844" s="13" t="s">
        <v>1271</v>
      </c>
      <c r="C844" s="13" t="s">
        <v>91</v>
      </c>
      <c r="D844" s="13" t="s">
        <v>697</v>
      </c>
      <c r="E844" s="13" t="s">
        <v>93</v>
      </c>
      <c r="F844" s="13" t="s">
        <v>1272</v>
      </c>
      <c r="G844" s="20" t="str">
        <f>HYPERLINK("https://semena-nn.ru/catalog/33/888000007601","Фото")</f>
        <v>Фото</v>
      </c>
      <c r="H844" s="19">
        <v>51.75</v>
      </c>
      <c r="I844" s="27"/>
      <c r="J844" s="13">
        <f>H844*I844</f>
        <v>0</v>
      </c>
    </row>
    <row r="845" spans="1:10" ht="12" customHeight="1">
      <c r="A845" s="13" t="s">
        <v>7260</v>
      </c>
      <c r="B845" s="13" t="s">
        <v>7261</v>
      </c>
      <c r="C845" s="13" t="s">
        <v>91</v>
      </c>
      <c r="D845" s="13" t="s">
        <v>7148</v>
      </c>
      <c r="E845" s="13" t="s">
        <v>93</v>
      </c>
      <c r="F845" s="13" t="s">
        <v>7262</v>
      </c>
      <c r="G845" s="20" t="str">
        <f>HYPERLINK("https://semena-nn.ru/catalog/33/888000001174","Фото")</f>
        <v>Фото</v>
      </c>
      <c r="H845" s="18">
        <v>65.5</v>
      </c>
      <c r="I845" s="27"/>
      <c r="J845" s="13">
        <f>H845*I845</f>
        <v>0</v>
      </c>
    </row>
    <row r="846" spans="1:10" ht="12" customHeight="1">
      <c r="A846" s="13" t="s">
        <v>1273</v>
      </c>
      <c r="B846" s="13" t="s">
        <v>1274</v>
      </c>
      <c r="C846" s="13" t="s">
        <v>91</v>
      </c>
      <c r="D846" s="13" t="s">
        <v>697</v>
      </c>
      <c r="E846" s="13" t="s">
        <v>93</v>
      </c>
      <c r="F846" s="13" t="s">
        <v>1275</v>
      </c>
      <c r="G846" s="20" t="str">
        <f>HYPERLINK("https://semena-nn.ru/catalog/33/999000019964","Фото")</f>
        <v>Фото</v>
      </c>
      <c r="H846" s="19">
        <v>27.05</v>
      </c>
      <c r="I846" s="27"/>
      <c r="J846" s="13">
        <f>H846*I846</f>
        <v>0</v>
      </c>
    </row>
    <row r="847" spans="1:10" ht="12" customHeight="1">
      <c r="A847" s="13" t="s">
        <v>3239</v>
      </c>
      <c r="B847" s="13" t="s">
        <v>3240</v>
      </c>
      <c r="C847" s="13" t="s">
        <v>91</v>
      </c>
      <c r="D847" s="13" t="s">
        <v>697</v>
      </c>
      <c r="E847" s="13" t="s">
        <v>3064</v>
      </c>
      <c r="F847" s="13" t="s">
        <v>3241</v>
      </c>
      <c r="G847" s="20" t="str">
        <f>HYPERLINK("http://www.semena-nn.ru/catalog/33/1288111","Фото")</f>
        <v>Фото</v>
      </c>
      <c r="H847" s="19">
        <v>17.850000000000001</v>
      </c>
      <c r="I847" s="27"/>
      <c r="J847" s="13">
        <f>H847*I847</f>
        <v>0</v>
      </c>
    </row>
    <row r="848" spans="1:10" ht="12" customHeight="1">
      <c r="A848" s="13" t="s">
        <v>6498</v>
      </c>
      <c r="B848" s="13" t="s">
        <v>6499</v>
      </c>
      <c r="C848" s="13" t="s">
        <v>91</v>
      </c>
      <c r="D848" s="13" t="s">
        <v>87</v>
      </c>
      <c r="E848" s="13" t="s">
        <v>93</v>
      </c>
      <c r="F848" s="13" t="s">
        <v>6500</v>
      </c>
      <c r="G848" s="20" t="str">
        <f>HYPERLINK("http://semena-nn.ru/catalog/33/1312882","Фото")</f>
        <v>Фото</v>
      </c>
      <c r="H848" s="18">
        <v>26.2</v>
      </c>
      <c r="I848" s="27"/>
      <c r="J848" s="13">
        <f>H848*I848</f>
        <v>0</v>
      </c>
    </row>
    <row r="849" spans="1:10" ht="12" customHeight="1">
      <c r="A849" s="13" t="s">
        <v>6916</v>
      </c>
      <c r="B849" s="13" t="s">
        <v>6917</v>
      </c>
      <c r="C849" s="13" t="s">
        <v>91</v>
      </c>
      <c r="D849" s="13" t="s">
        <v>87</v>
      </c>
      <c r="E849" s="13" t="s">
        <v>2636</v>
      </c>
      <c r="F849" s="13" t="s">
        <v>6918</v>
      </c>
      <c r="G849" s="20" t="str">
        <f>HYPERLINK("https://semena-nn.ru/catalog/33/1315306","Фото")</f>
        <v>Фото</v>
      </c>
      <c r="H849" s="19">
        <v>13.65</v>
      </c>
      <c r="I849" s="27"/>
      <c r="J849" s="13">
        <f>H849*I849</f>
        <v>0</v>
      </c>
    </row>
    <row r="850" spans="1:10" ht="12" customHeight="1">
      <c r="A850" s="13" t="s">
        <v>2832</v>
      </c>
      <c r="B850" s="13" t="s">
        <v>2833</v>
      </c>
      <c r="C850" s="13" t="s">
        <v>91</v>
      </c>
      <c r="D850" s="13" t="s">
        <v>697</v>
      </c>
      <c r="E850" s="13" t="s">
        <v>2636</v>
      </c>
      <c r="F850" s="13" t="s">
        <v>2834</v>
      </c>
      <c r="G850" s="20" t="str">
        <f>HYPERLINK("http://semena-nn.ru/catalog/33/95291","Фото")</f>
        <v>Фото</v>
      </c>
      <c r="H850" s="18">
        <v>15.5</v>
      </c>
      <c r="I850" s="27"/>
      <c r="J850" s="13">
        <f>H850*I850</f>
        <v>0</v>
      </c>
    </row>
    <row r="851" spans="1:10" ht="12" customHeight="1">
      <c r="A851" s="13" t="s">
        <v>6167</v>
      </c>
      <c r="B851" s="13" t="s">
        <v>6168</v>
      </c>
      <c r="C851" s="13" t="s">
        <v>91</v>
      </c>
      <c r="D851" s="13" t="s">
        <v>6021</v>
      </c>
      <c r="E851" s="13" t="s">
        <v>93</v>
      </c>
      <c r="F851" s="13" t="s">
        <v>6169</v>
      </c>
      <c r="G851" s="20" t="str">
        <f>HYPERLINK("https://semena-nn.ru/catalog/33/1120215","Фото")</f>
        <v>Фото</v>
      </c>
      <c r="H851" s="18">
        <v>41.1</v>
      </c>
      <c r="I851" s="27"/>
      <c r="J851" s="13">
        <f>H851*I851</f>
        <v>0</v>
      </c>
    </row>
    <row r="852" spans="1:10" ht="12" customHeight="1">
      <c r="A852" s="13" t="s">
        <v>7916</v>
      </c>
      <c r="B852" s="13" t="s">
        <v>7917</v>
      </c>
      <c r="C852" s="13" t="s">
        <v>91</v>
      </c>
      <c r="D852" s="13" t="s">
        <v>7728</v>
      </c>
      <c r="E852" s="13" t="s">
        <v>93</v>
      </c>
      <c r="F852" s="13" t="s">
        <v>7918</v>
      </c>
      <c r="G852" s="20" t="str">
        <f>HYPERLINK("http://semena-nn.ru/catalog/2/33/big_1298342.JPG","Фото")</f>
        <v>Фото</v>
      </c>
      <c r="H852" s="18">
        <v>45.4</v>
      </c>
      <c r="I852" s="27"/>
      <c r="J852" s="13">
        <f>H852*I852</f>
        <v>0</v>
      </c>
    </row>
    <row r="853" spans="1:10" ht="12" customHeight="1">
      <c r="A853" s="13" t="s">
        <v>2835</v>
      </c>
      <c r="B853" s="13" t="s">
        <v>2836</v>
      </c>
      <c r="C853" s="13" t="s">
        <v>91</v>
      </c>
      <c r="D853" s="13" t="s">
        <v>697</v>
      </c>
      <c r="E853" s="13" t="s">
        <v>2636</v>
      </c>
      <c r="F853" s="13" t="s">
        <v>2837</v>
      </c>
      <c r="G853" s="20" t="str">
        <f>HYPERLINK("http://semena-nn.ru/catalog/33/98954","Фото")</f>
        <v>Фото</v>
      </c>
      <c r="H853" s="18">
        <v>7.2</v>
      </c>
      <c r="I853" s="27"/>
      <c r="J853" s="13">
        <f>H853*I853</f>
        <v>0</v>
      </c>
    </row>
    <row r="854" spans="1:10" ht="12" customHeight="1">
      <c r="A854" s="13" t="s">
        <v>3242</v>
      </c>
      <c r="B854" s="13" t="s">
        <v>3243</v>
      </c>
      <c r="C854" s="13" t="s">
        <v>91</v>
      </c>
      <c r="D854" s="13" t="s">
        <v>697</v>
      </c>
      <c r="E854" s="13" t="s">
        <v>3064</v>
      </c>
      <c r="F854" s="13" t="s">
        <v>3244</v>
      </c>
      <c r="G854" s="20" t="str">
        <f>HYPERLINK("http://www.semena-nn.ru/catalog/33/1314662","Фото")</f>
        <v>Фото</v>
      </c>
      <c r="H854" s="19">
        <v>12.65</v>
      </c>
      <c r="I854" s="27"/>
      <c r="J854" s="13">
        <f>H854*I854</f>
        <v>0</v>
      </c>
    </row>
    <row r="855" spans="1:10" ht="12" customHeight="1">
      <c r="A855" s="13" t="s">
        <v>1276</v>
      </c>
      <c r="B855" s="13" t="s">
        <v>1277</v>
      </c>
      <c r="C855" s="13" t="s">
        <v>91</v>
      </c>
      <c r="D855" s="13" t="s">
        <v>697</v>
      </c>
      <c r="E855" s="13" t="s">
        <v>93</v>
      </c>
      <c r="F855" s="13" t="s">
        <v>1278</v>
      </c>
      <c r="G855" s="20" t="str">
        <f>HYPERLINK("http://www.semena-nn.ru/catalog/33/1283364","Фото")</f>
        <v>Фото</v>
      </c>
      <c r="H855" s="19">
        <v>22.95</v>
      </c>
      <c r="I855" s="27"/>
      <c r="J855" s="13">
        <f>H855*I855</f>
        <v>0</v>
      </c>
    </row>
    <row r="856" spans="1:10" ht="12" customHeight="1">
      <c r="A856" s="13" t="s">
        <v>3866</v>
      </c>
      <c r="B856" s="13" t="s">
        <v>3867</v>
      </c>
      <c r="C856" s="13" t="s">
        <v>91</v>
      </c>
      <c r="D856" s="13" t="s">
        <v>3475</v>
      </c>
      <c r="E856" s="13" t="s">
        <v>93</v>
      </c>
      <c r="F856" s="13" t="s">
        <v>3868</v>
      </c>
      <c r="G856" s="20" t="str">
        <f>HYPERLINK("http://semena-nn.ru/catalog/33/1290198","Фото")</f>
        <v>Фото</v>
      </c>
      <c r="H856" s="19">
        <v>39.979999999999997</v>
      </c>
      <c r="I856" s="27"/>
      <c r="J856" s="13">
        <f>H856*I856</f>
        <v>0</v>
      </c>
    </row>
    <row r="857" spans="1:10" ht="12" customHeight="1">
      <c r="A857" s="13" t="s">
        <v>8340</v>
      </c>
      <c r="B857" s="13" t="s">
        <v>8341</v>
      </c>
      <c r="C857" s="13" t="s">
        <v>91</v>
      </c>
      <c r="D857" s="13" t="s">
        <v>8317</v>
      </c>
      <c r="E857" s="13" t="s">
        <v>93</v>
      </c>
      <c r="F857" s="13" t="s">
        <v>8342</v>
      </c>
      <c r="G857" s="20" t="str">
        <f>HYPERLINK("http://www.semena-nn.ru/catalog/33/1298400","Фото")</f>
        <v>Фото</v>
      </c>
      <c r="H857" s="19">
        <v>110.25</v>
      </c>
      <c r="I857" s="27"/>
      <c r="J857" s="13">
        <f>H857*I857</f>
        <v>0</v>
      </c>
    </row>
    <row r="858" spans="1:10" ht="12" customHeight="1">
      <c r="A858" s="13" t="s">
        <v>2838</v>
      </c>
      <c r="B858" s="13" t="s">
        <v>2839</v>
      </c>
      <c r="C858" s="13" t="s">
        <v>91</v>
      </c>
      <c r="D858" s="13" t="s">
        <v>697</v>
      </c>
      <c r="E858" s="13" t="s">
        <v>2636</v>
      </c>
      <c r="F858" s="13" t="s">
        <v>2840</v>
      </c>
      <c r="G858" s="20" t="str">
        <f>HYPERLINK("http://www.semena-nn.ru/catalog/33/91549","Фото")</f>
        <v>Фото</v>
      </c>
      <c r="H858" s="19">
        <v>8.9499999999999993</v>
      </c>
      <c r="I858" s="27"/>
      <c r="J858" s="13">
        <f>H858*I858</f>
        <v>0</v>
      </c>
    </row>
    <row r="859" spans="1:10" ht="12" customHeight="1">
      <c r="A859" s="13" t="s">
        <v>3245</v>
      </c>
      <c r="B859" s="13" t="s">
        <v>3246</v>
      </c>
      <c r="C859" s="13" t="s">
        <v>91</v>
      </c>
      <c r="D859" s="13" t="s">
        <v>697</v>
      </c>
      <c r="E859" s="13" t="s">
        <v>3064</v>
      </c>
      <c r="F859" s="13" t="s">
        <v>3247</v>
      </c>
      <c r="G859" s="20" t="str">
        <f>HYPERLINK("http://semena-nn.ru/catalog/33/1287474","Фото")</f>
        <v>Фото</v>
      </c>
      <c r="H859" s="18">
        <v>15.1</v>
      </c>
      <c r="I859" s="27"/>
      <c r="J859" s="13">
        <f>H859*I859</f>
        <v>0</v>
      </c>
    </row>
    <row r="860" spans="1:10" ht="12" customHeight="1">
      <c r="A860" s="13" t="s">
        <v>8343</v>
      </c>
      <c r="B860" s="13" t="s">
        <v>8344</v>
      </c>
      <c r="C860" s="13" t="s">
        <v>91</v>
      </c>
      <c r="D860" s="13" t="s">
        <v>8317</v>
      </c>
      <c r="E860" s="13" t="s">
        <v>93</v>
      </c>
      <c r="F860" s="13" t="s">
        <v>8345</v>
      </c>
      <c r="G860" s="20" t="str">
        <f>HYPERLINK("http://semena-nn.ru/catalog/2/33/big_1298404.jpg","Фото")</f>
        <v>Фото</v>
      </c>
      <c r="H860" s="18">
        <v>82.7</v>
      </c>
      <c r="I860" s="27"/>
      <c r="J860" s="13">
        <f>H860*I860</f>
        <v>0</v>
      </c>
    </row>
    <row r="861" spans="1:10" ht="12" customHeight="1">
      <c r="A861" s="13" t="s">
        <v>7919</v>
      </c>
      <c r="B861" s="13" t="s">
        <v>7920</v>
      </c>
      <c r="C861" s="13" t="s">
        <v>91</v>
      </c>
      <c r="D861" s="13" t="s">
        <v>7728</v>
      </c>
      <c r="E861" s="13" t="s">
        <v>93</v>
      </c>
      <c r="F861" s="13" t="s">
        <v>7921</v>
      </c>
      <c r="G861" s="20" t="str">
        <f>HYPERLINK("http://www.semena-nn.ru/catalog/33/99267","Фото")</f>
        <v>Фото</v>
      </c>
      <c r="H861" s="18">
        <v>66.7</v>
      </c>
      <c r="I861" s="27"/>
      <c r="J861" s="13">
        <f>H861*I861</f>
        <v>0</v>
      </c>
    </row>
    <row r="862" spans="1:10" ht="12" customHeight="1">
      <c r="A862" s="13" t="s">
        <v>1279</v>
      </c>
      <c r="B862" s="13" t="s">
        <v>1280</v>
      </c>
      <c r="C862" s="13" t="s">
        <v>91</v>
      </c>
      <c r="D862" s="13" t="s">
        <v>697</v>
      </c>
      <c r="E862" s="13" t="s">
        <v>93</v>
      </c>
      <c r="F862" s="13" t="s">
        <v>1281</v>
      </c>
      <c r="G862" s="20" t="str">
        <f>HYPERLINK("https://semena-nn.ru/catalog/33/888000000857","Фото")</f>
        <v>Фото</v>
      </c>
      <c r="H862" s="18">
        <v>28.6</v>
      </c>
      <c r="I862" s="27"/>
      <c r="J862" s="13">
        <f>H862*I862</f>
        <v>0</v>
      </c>
    </row>
    <row r="863" spans="1:10" ht="12" customHeight="1">
      <c r="A863" s="13" t="s">
        <v>7922</v>
      </c>
      <c r="B863" s="13" t="s">
        <v>7923</v>
      </c>
      <c r="C863" s="13" t="s">
        <v>91</v>
      </c>
      <c r="D863" s="13" t="s">
        <v>7728</v>
      </c>
      <c r="E863" s="13" t="s">
        <v>93</v>
      </c>
      <c r="F863" s="13" t="s">
        <v>7924</v>
      </c>
      <c r="G863" s="20" t="str">
        <f>HYPERLINK("http://www.semena-nn.ru/catalog/33/112025","Фото")</f>
        <v>Фото</v>
      </c>
      <c r="H863" s="19">
        <v>51.95</v>
      </c>
      <c r="I863" s="27"/>
      <c r="J863" s="13">
        <f>H863*I863</f>
        <v>0</v>
      </c>
    </row>
    <row r="864" spans="1:10" ht="12" customHeight="1">
      <c r="A864" s="13" t="s">
        <v>3869</v>
      </c>
      <c r="B864" s="13" t="s">
        <v>3870</v>
      </c>
      <c r="C864" s="13" t="s">
        <v>91</v>
      </c>
      <c r="D864" s="13" t="s">
        <v>3475</v>
      </c>
      <c r="E864" s="13" t="s">
        <v>93</v>
      </c>
      <c r="F864" s="13" t="s">
        <v>3871</v>
      </c>
      <c r="G864" s="20" t="str">
        <f>HYPERLINK("https://semena-nn.ru/catalog/33/999000009867","Фото")</f>
        <v>Фото</v>
      </c>
      <c r="H864" s="19">
        <v>43.05</v>
      </c>
      <c r="I864" s="27"/>
      <c r="J864" s="13">
        <f>H864*I864</f>
        <v>0</v>
      </c>
    </row>
    <row r="865" spans="1:10" ht="12" customHeight="1">
      <c r="A865" s="13" t="s">
        <v>6996</v>
      </c>
      <c r="B865" s="13" t="s">
        <v>6997</v>
      </c>
      <c r="C865" s="13" t="s">
        <v>91</v>
      </c>
      <c r="D865" s="13" t="s">
        <v>6927</v>
      </c>
      <c r="E865" s="13" t="s">
        <v>93</v>
      </c>
      <c r="F865" s="13" t="s">
        <v>6998</v>
      </c>
      <c r="G865" s="20" t="str">
        <f>HYPERLINK("http://semena-nn.ru/catalog/2/33/big_1299609.jpg","Фото")</f>
        <v>Фото</v>
      </c>
      <c r="H865" s="18">
        <v>32.799999999999997</v>
      </c>
      <c r="I865" s="27"/>
      <c r="J865" s="13">
        <f>H865*I865</f>
        <v>0</v>
      </c>
    </row>
    <row r="866" spans="1:10" ht="12" customHeight="1">
      <c r="A866" s="13" t="s">
        <v>6170</v>
      </c>
      <c r="B866" s="13" t="s">
        <v>6171</v>
      </c>
      <c r="C866" s="13" t="s">
        <v>91</v>
      </c>
      <c r="D866" s="13" t="s">
        <v>6021</v>
      </c>
      <c r="E866" s="13" t="s">
        <v>93</v>
      </c>
      <c r="F866" s="13" t="s">
        <v>6172</v>
      </c>
      <c r="G866" s="20" t="str">
        <f>HYPERLINK("http://semena-nn.ru/catalog/33/112585","Фото")</f>
        <v>Фото</v>
      </c>
      <c r="H866" s="18">
        <v>41.1</v>
      </c>
      <c r="I866" s="27"/>
      <c r="J866" s="13">
        <f>H866*I866</f>
        <v>0</v>
      </c>
    </row>
    <row r="867" spans="1:10" ht="12" customHeight="1">
      <c r="A867" s="13" t="s">
        <v>3248</v>
      </c>
      <c r="B867" s="13" t="s">
        <v>3249</v>
      </c>
      <c r="C867" s="13" t="s">
        <v>91</v>
      </c>
      <c r="D867" s="13" t="s">
        <v>697</v>
      </c>
      <c r="E867" s="13" t="s">
        <v>3064</v>
      </c>
      <c r="F867" s="13" t="s">
        <v>3250</v>
      </c>
      <c r="G867" s="20" t="str">
        <f>HYPERLINK("http://semena-nn.ru/catalog/2/33/big_1287475.jpg","Фото")</f>
        <v>Фото</v>
      </c>
      <c r="H867" s="19">
        <v>15.38</v>
      </c>
      <c r="I867" s="27"/>
      <c r="J867" s="13">
        <f>H867*I867</f>
        <v>0</v>
      </c>
    </row>
    <row r="868" spans="1:10" ht="12" customHeight="1">
      <c r="A868" s="13" t="s">
        <v>3872</v>
      </c>
      <c r="B868" s="13" t="s">
        <v>3873</v>
      </c>
      <c r="C868" s="13" t="s">
        <v>91</v>
      </c>
      <c r="D868" s="13" t="s">
        <v>3475</v>
      </c>
      <c r="E868" s="13" t="s">
        <v>93</v>
      </c>
      <c r="F868" s="13" t="s">
        <v>3874</v>
      </c>
      <c r="G868" s="20" t="str">
        <f>HYPERLINK("http://semena-nn.ru/catalog/2/33/big_99372.jpg","Фото")</f>
        <v>Фото</v>
      </c>
      <c r="H868" s="18">
        <v>45.9</v>
      </c>
      <c r="I868" s="27"/>
      <c r="J868" s="13">
        <f>H868*I868</f>
        <v>0</v>
      </c>
    </row>
    <row r="869" spans="1:10" ht="12" customHeight="1">
      <c r="A869" s="13" t="s">
        <v>7263</v>
      </c>
      <c r="B869" s="13" t="s">
        <v>7264</v>
      </c>
      <c r="C869" s="13" t="s">
        <v>91</v>
      </c>
      <c r="D869" s="13" t="s">
        <v>7148</v>
      </c>
      <c r="E869" s="13" t="s">
        <v>93</v>
      </c>
      <c r="F869" s="13" t="s">
        <v>7265</v>
      </c>
      <c r="G869" s="20" t="str">
        <f>HYPERLINK("https://semena-nn.ru/catalog/33/888000007708","Фото")</f>
        <v>Фото</v>
      </c>
      <c r="H869" s="18">
        <v>65.5</v>
      </c>
      <c r="I869" s="27"/>
      <c r="J869" s="13">
        <f>H869*I869</f>
        <v>0</v>
      </c>
    </row>
    <row r="870" spans="1:10" ht="12" customHeight="1">
      <c r="A870" s="13" t="s">
        <v>8512</v>
      </c>
      <c r="B870" s="13" t="s">
        <v>8513</v>
      </c>
      <c r="C870" s="13" t="s">
        <v>91</v>
      </c>
      <c r="D870" s="13" t="s">
        <v>8498</v>
      </c>
      <c r="E870" s="13" t="s">
        <v>93</v>
      </c>
      <c r="F870" s="13" t="s">
        <v>8514</v>
      </c>
      <c r="G870" s="20" t="str">
        <f>HYPERLINK("https://semena-nn.ru/catalog/33/999000011377","Фото")</f>
        <v>Фото</v>
      </c>
      <c r="H870" s="18">
        <v>46.8</v>
      </c>
      <c r="I870" s="27"/>
      <c r="J870" s="13">
        <f>H870*I870</f>
        <v>0</v>
      </c>
    </row>
    <row r="871" spans="1:10" ht="12" customHeight="1">
      <c r="A871" s="13" t="s">
        <v>8515</v>
      </c>
      <c r="B871" s="13" t="s">
        <v>8516</v>
      </c>
      <c r="C871" s="13" t="s">
        <v>91</v>
      </c>
      <c r="D871" s="13" t="s">
        <v>8498</v>
      </c>
      <c r="E871" s="13" t="s">
        <v>93</v>
      </c>
      <c r="F871" s="13" t="s">
        <v>8517</v>
      </c>
      <c r="G871" s="20" t="str">
        <f>HYPERLINK("http://semena-nn.ru/catalog/33/1309415","Фото")</f>
        <v>Фото</v>
      </c>
      <c r="H871" s="18">
        <v>47.1</v>
      </c>
      <c r="I871" s="27"/>
      <c r="J871" s="13">
        <f>H871*I871</f>
        <v>0</v>
      </c>
    </row>
    <row r="872" spans="1:10" ht="12" customHeight="1">
      <c r="A872" s="13" t="s">
        <v>5240</v>
      </c>
      <c r="B872" s="13" t="s">
        <v>5241</v>
      </c>
      <c r="C872" s="13" t="s">
        <v>91</v>
      </c>
      <c r="D872" s="13" t="s">
        <v>5136</v>
      </c>
      <c r="E872" s="13" t="s">
        <v>93</v>
      </c>
      <c r="F872" s="13" t="s">
        <v>5242</v>
      </c>
      <c r="G872" s="20" t="str">
        <f>HYPERLINK("https://semena-nn.ru/catalog/33/888000007820","Фото")</f>
        <v>Фото</v>
      </c>
      <c r="H872" s="15">
        <v>112</v>
      </c>
      <c r="I872" s="27"/>
      <c r="J872" s="13">
        <f>H872*I872</f>
        <v>0</v>
      </c>
    </row>
    <row r="873" spans="1:10" ht="12" customHeight="1">
      <c r="A873" s="13" t="s">
        <v>3875</v>
      </c>
      <c r="B873" s="13" t="s">
        <v>3876</v>
      </c>
      <c r="C873" s="13" t="s">
        <v>91</v>
      </c>
      <c r="D873" s="13" t="s">
        <v>3475</v>
      </c>
      <c r="E873" s="13" t="s">
        <v>93</v>
      </c>
      <c r="F873" s="13" t="s">
        <v>3877</v>
      </c>
      <c r="G873" s="20" t="str">
        <f>HYPERLINK("http://semena-nn.ru/catalog/33/111384","Фото")</f>
        <v>Фото</v>
      </c>
      <c r="H873" s="18">
        <v>37.6</v>
      </c>
      <c r="I873" s="27"/>
      <c r="J873" s="13">
        <f>H873*I873</f>
        <v>0</v>
      </c>
    </row>
    <row r="874" spans="1:10" ht="12" customHeight="1">
      <c r="A874" s="13" t="s">
        <v>1282</v>
      </c>
      <c r="B874" s="13" t="s">
        <v>1283</v>
      </c>
      <c r="C874" s="13" t="s">
        <v>91</v>
      </c>
      <c r="D874" s="13" t="s">
        <v>697</v>
      </c>
      <c r="E874" s="13" t="s">
        <v>93</v>
      </c>
      <c r="F874" s="13" t="s">
        <v>1284</v>
      </c>
      <c r="G874" s="20" t="str">
        <f>HYPERLINK("http://semena-nn.ru/catalog/33/1315382","Фото")</f>
        <v>Фото</v>
      </c>
      <c r="H874" s="19">
        <v>33.950000000000003</v>
      </c>
      <c r="I874" s="27"/>
      <c r="J874" s="13">
        <f>H874*I874</f>
        <v>0</v>
      </c>
    </row>
    <row r="875" spans="1:10" ht="12" customHeight="1">
      <c r="A875" s="13" t="s">
        <v>7925</v>
      </c>
      <c r="B875" s="13" t="s">
        <v>7926</v>
      </c>
      <c r="C875" s="13" t="s">
        <v>91</v>
      </c>
      <c r="D875" s="13" t="s">
        <v>7728</v>
      </c>
      <c r="E875" s="13" t="s">
        <v>93</v>
      </c>
      <c r="F875" s="13" t="s">
        <v>7927</v>
      </c>
      <c r="G875" s="20" t="str">
        <f>HYPERLINK("http://www.semena-nn.ru/catalog/33/1303536","Фото")</f>
        <v>Фото</v>
      </c>
      <c r="H875" s="15">
        <v>27</v>
      </c>
      <c r="I875" s="27"/>
      <c r="J875" s="13">
        <f>H875*I875</f>
        <v>0</v>
      </c>
    </row>
    <row r="876" spans="1:10" ht="12" customHeight="1">
      <c r="A876" s="13" t="s">
        <v>6173</v>
      </c>
      <c r="B876" s="13" t="s">
        <v>6174</v>
      </c>
      <c r="C876" s="13" t="s">
        <v>91</v>
      </c>
      <c r="D876" s="13" t="s">
        <v>6021</v>
      </c>
      <c r="E876" s="13" t="s">
        <v>93</v>
      </c>
      <c r="F876" s="13" t="s">
        <v>6175</v>
      </c>
      <c r="G876" s="20" t="str">
        <f>HYPERLINK("http://semena-nn.ru/catalog/33/1101","Фото")</f>
        <v>Фото</v>
      </c>
      <c r="H876" s="18">
        <v>43.5</v>
      </c>
      <c r="I876" s="27"/>
      <c r="J876" s="13">
        <f>H876*I876</f>
        <v>0</v>
      </c>
    </row>
    <row r="877" spans="1:10" ht="12" customHeight="1">
      <c r="A877" s="13" t="s">
        <v>6176</v>
      </c>
      <c r="B877" s="13" t="s">
        <v>6177</v>
      </c>
      <c r="C877" s="13" t="s">
        <v>91</v>
      </c>
      <c r="D877" s="13" t="s">
        <v>6021</v>
      </c>
      <c r="E877" s="13" t="s">
        <v>93</v>
      </c>
      <c r="F877" s="13" t="s">
        <v>6178</v>
      </c>
      <c r="G877" s="20" t="str">
        <f>HYPERLINK("https://semena-nn.ru/catalog/33/999000007995","Фото")</f>
        <v>Фото</v>
      </c>
      <c r="H877" s="18">
        <v>43.5</v>
      </c>
      <c r="I877" s="27"/>
      <c r="J877" s="13">
        <f>H877*I877</f>
        <v>0</v>
      </c>
    </row>
    <row r="878" spans="1:10" ht="12" customHeight="1">
      <c r="A878" s="13" t="s">
        <v>3251</v>
      </c>
      <c r="B878" s="13" t="s">
        <v>3252</v>
      </c>
      <c r="C878" s="13" t="s">
        <v>91</v>
      </c>
      <c r="D878" s="13" t="s">
        <v>697</v>
      </c>
      <c r="E878" s="13" t="s">
        <v>3064</v>
      </c>
      <c r="F878" s="13" t="s">
        <v>3253</v>
      </c>
      <c r="G878" s="20" t="str">
        <f>HYPERLINK("http://semena-nn.ru/catalog/33/1302198","Фото")</f>
        <v>Фото</v>
      </c>
      <c r="H878" s="19">
        <v>14.65</v>
      </c>
      <c r="I878" s="27"/>
      <c r="J878" s="13">
        <f>H878*I878</f>
        <v>0</v>
      </c>
    </row>
    <row r="879" spans="1:10" ht="12" customHeight="1">
      <c r="A879" s="13" t="s">
        <v>8821</v>
      </c>
      <c r="B879" s="13" t="s">
        <v>8822</v>
      </c>
      <c r="C879" s="13" t="s">
        <v>91</v>
      </c>
      <c r="D879" s="13" t="s">
        <v>8717</v>
      </c>
      <c r="E879" s="13" t="s">
        <v>93</v>
      </c>
      <c r="F879" s="13" t="s">
        <v>8823</v>
      </c>
      <c r="G879" s="20" t="str">
        <f>HYPERLINK("http://semena-nn.ru/catalog/33/1312503","Фото")</f>
        <v>Фото</v>
      </c>
      <c r="H879" s="18">
        <v>65.7</v>
      </c>
      <c r="I879" s="27"/>
      <c r="J879" s="13">
        <f>H879*I879</f>
        <v>0</v>
      </c>
    </row>
    <row r="880" spans="1:10" ht="12" customHeight="1">
      <c r="A880" s="13" t="s">
        <v>5890</v>
      </c>
      <c r="B880" s="13" t="s">
        <v>5891</v>
      </c>
      <c r="C880" s="13" t="s">
        <v>91</v>
      </c>
      <c r="D880" s="13" t="s">
        <v>5834</v>
      </c>
      <c r="E880" s="13" t="s">
        <v>93</v>
      </c>
      <c r="F880" s="13" t="s">
        <v>5892</v>
      </c>
      <c r="G880" s="20" t="str">
        <f>HYPERLINK("https://semena-nn.ru/catalog/33/888000001537","Фото")</f>
        <v>Фото</v>
      </c>
      <c r="H880" s="18">
        <v>50.4</v>
      </c>
      <c r="I880" s="27"/>
      <c r="J880" s="13">
        <f>H880*I880</f>
        <v>0</v>
      </c>
    </row>
    <row r="881" spans="1:10" ht="12" customHeight="1">
      <c r="A881" s="13" t="s">
        <v>5243</v>
      </c>
      <c r="B881" s="13" t="s">
        <v>5244</v>
      </c>
      <c r="C881" s="13" t="s">
        <v>91</v>
      </c>
      <c r="D881" s="13" t="s">
        <v>5136</v>
      </c>
      <c r="E881" s="13" t="s">
        <v>93</v>
      </c>
      <c r="F881" s="13" t="s">
        <v>5245</v>
      </c>
      <c r="G881" s="20" t="str">
        <f>HYPERLINK("https://semena-nn.ru/catalog/33/888000007821","Фото")</f>
        <v>Фото</v>
      </c>
      <c r="H881" s="18">
        <v>80.599999999999994</v>
      </c>
      <c r="I881" s="27"/>
      <c r="J881" s="13">
        <f>H881*I881</f>
        <v>0</v>
      </c>
    </row>
    <row r="882" spans="1:10" ht="12" customHeight="1">
      <c r="A882" s="13" t="s">
        <v>5246</v>
      </c>
      <c r="B882" s="13" t="s">
        <v>5247</v>
      </c>
      <c r="C882" s="13" t="s">
        <v>91</v>
      </c>
      <c r="D882" s="13" t="s">
        <v>5136</v>
      </c>
      <c r="E882" s="13" t="s">
        <v>93</v>
      </c>
      <c r="F882" s="13" t="s">
        <v>5248</v>
      </c>
      <c r="G882" s="20" t="str">
        <f>HYPERLINK("https://semena-nn.ru/catalog/33/888000007896","Фото")</f>
        <v>Фото</v>
      </c>
      <c r="H882" s="18">
        <v>67.5</v>
      </c>
      <c r="I882" s="27"/>
      <c r="J882" s="13">
        <f>H882*I882</f>
        <v>0</v>
      </c>
    </row>
    <row r="883" spans="1:10" ht="12" customHeight="1">
      <c r="A883" s="13" t="s">
        <v>1285</v>
      </c>
      <c r="B883" s="13" t="s">
        <v>1286</v>
      </c>
      <c r="C883" s="13" t="s">
        <v>91</v>
      </c>
      <c r="D883" s="13" t="s">
        <v>697</v>
      </c>
      <c r="E883" s="13" t="s">
        <v>93</v>
      </c>
      <c r="F883" s="13" t="s">
        <v>1287</v>
      </c>
      <c r="G883" s="20" t="str">
        <f>HYPERLINK("http://semena-nn.ru/catalog/33/999000001182","Фото")</f>
        <v>Фото</v>
      </c>
      <c r="H883" s="19">
        <v>39.950000000000003</v>
      </c>
      <c r="I883" s="27"/>
      <c r="J883" s="13">
        <f>H883*I883</f>
        <v>0</v>
      </c>
    </row>
    <row r="884" spans="1:10" ht="12" customHeight="1">
      <c r="A884" s="13" t="s">
        <v>295</v>
      </c>
      <c r="B884" s="13" t="s">
        <v>296</v>
      </c>
      <c r="C884" s="13" t="s">
        <v>91</v>
      </c>
      <c r="D884" s="13" t="s">
        <v>28</v>
      </c>
      <c r="E884" s="13" t="s">
        <v>93</v>
      </c>
      <c r="F884" s="13" t="s">
        <v>297</v>
      </c>
      <c r="G884" s="20" t="str">
        <f>HYPERLINK("https://semena-nn.ru/catalog/33/999000010612","Фото")</f>
        <v>Фото</v>
      </c>
      <c r="H884" s="19">
        <v>160.44</v>
      </c>
      <c r="I884" s="27"/>
      <c r="J884" s="13">
        <f>H884*I884</f>
        <v>0</v>
      </c>
    </row>
    <row r="885" spans="1:10" ht="12" customHeight="1">
      <c r="A885" s="13" t="s">
        <v>3878</v>
      </c>
      <c r="B885" s="13" t="s">
        <v>3879</v>
      </c>
      <c r="C885" s="13" t="s">
        <v>91</v>
      </c>
      <c r="D885" s="13" t="s">
        <v>3475</v>
      </c>
      <c r="E885" s="13" t="s">
        <v>93</v>
      </c>
      <c r="F885" s="13" t="s">
        <v>3880</v>
      </c>
      <c r="G885" s="20" t="str">
        <f>HYPERLINK("http://www.semena-nn.ru/catalog/33/99263","Фото")</f>
        <v>Фото</v>
      </c>
      <c r="H885" s="19">
        <v>34.65</v>
      </c>
      <c r="I885" s="27"/>
      <c r="J885" s="13">
        <f>H885*I885</f>
        <v>0</v>
      </c>
    </row>
    <row r="886" spans="1:10" ht="12" customHeight="1">
      <c r="A886" s="13" t="s">
        <v>1288</v>
      </c>
      <c r="B886" s="13" t="s">
        <v>1289</v>
      </c>
      <c r="C886" s="13" t="s">
        <v>91</v>
      </c>
      <c r="D886" s="13" t="s">
        <v>697</v>
      </c>
      <c r="E886" s="13" t="s">
        <v>93</v>
      </c>
      <c r="F886" s="13" t="s">
        <v>1290</v>
      </c>
      <c r="G886" s="20" t="str">
        <f>HYPERLINK("http://semena-nn.ru/catalog/33/1308311","Фото")</f>
        <v>Фото</v>
      </c>
      <c r="H886" s="19">
        <v>39.950000000000003</v>
      </c>
      <c r="I886" s="27"/>
      <c r="J886" s="13">
        <f>H886*I886</f>
        <v>0</v>
      </c>
    </row>
    <row r="887" spans="1:10" ht="12" customHeight="1">
      <c r="A887" s="13" t="s">
        <v>6179</v>
      </c>
      <c r="B887" s="13" t="s">
        <v>6180</v>
      </c>
      <c r="C887" s="13" t="s">
        <v>91</v>
      </c>
      <c r="D887" s="13" t="s">
        <v>6021</v>
      </c>
      <c r="E887" s="13" t="s">
        <v>93</v>
      </c>
      <c r="F887" s="13" t="s">
        <v>6181</v>
      </c>
      <c r="G887" s="20" t="str">
        <f>HYPERLINK("http://semena-nn.ru/catalog/33/999000004085","Фото")</f>
        <v>Фото</v>
      </c>
      <c r="H887" s="18">
        <v>50.7</v>
      </c>
      <c r="I887" s="27"/>
      <c r="J887" s="13">
        <f>H887*I887</f>
        <v>0</v>
      </c>
    </row>
    <row r="888" spans="1:10" ht="12" customHeight="1">
      <c r="A888" s="13" t="s">
        <v>6182</v>
      </c>
      <c r="B888" s="13" t="s">
        <v>6183</v>
      </c>
      <c r="C888" s="13" t="s">
        <v>91</v>
      </c>
      <c r="D888" s="13" t="s">
        <v>6021</v>
      </c>
      <c r="E888" s="13" t="s">
        <v>93</v>
      </c>
      <c r="F888" s="13" t="s">
        <v>6184</v>
      </c>
      <c r="G888" s="20" t="str">
        <f>HYPERLINK("http://semena-nn.ru/catalog/33/1100","Фото")</f>
        <v>Фото</v>
      </c>
      <c r="H888" s="18">
        <v>41.1</v>
      </c>
      <c r="I888" s="27"/>
      <c r="J888" s="13">
        <f>H888*I888</f>
        <v>0</v>
      </c>
    </row>
    <row r="889" spans="1:10" ht="12" customHeight="1">
      <c r="A889" s="13" t="s">
        <v>8346</v>
      </c>
      <c r="B889" s="13" t="s">
        <v>8347</v>
      </c>
      <c r="C889" s="13" t="s">
        <v>91</v>
      </c>
      <c r="D889" s="13" t="s">
        <v>8317</v>
      </c>
      <c r="E889" s="13" t="s">
        <v>93</v>
      </c>
      <c r="F889" s="13" t="s">
        <v>8348</v>
      </c>
      <c r="G889" s="20" t="str">
        <f>HYPERLINK("https://semena-nn.ru/catalog/33/1299442","Фото")</f>
        <v>Фото</v>
      </c>
      <c r="H889" s="18">
        <v>93.7</v>
      </c>
      <c r="I889" s="27"/>
      <c r="J889" s="13">
        <f>H889*I889</f>
        <v>0</v>
      </c>
    </row>
    <row r="890" spans="1:10" ht="12" customHeight="1">
      <c r="A890" s="13" t="s">
        <v>8824</v>
      </c>
      <c r="B890" s="13" t="s">
        <v>8825</v>
      </c>
      <c r="C890" s="13" t="s">
        <v>91</v>
      </c>
      <c r="D890" s="13" t="s">
        <v>8717</v>
      </c>
      <c r="E890" s="13" t="s">
        <v>93</v>
      </c>
      <c r="F890" s="13" t="s">
        <v>8826</v>
      </c>
      <c r="G890" s="20" t="str">
        <f>HYPERLINK("http://semena-nn.ru/catalog/33/1307656","Фото")</f>
        <v>Фото</v>
      </c>
      <c r="H890" s="18">
        <v>97.3</v>
      </c>
      <c r="I890" s="27"/>
      <c r="J890" s="13">
        <f>H890*I890</f>
        <v>0</v>
      </c>
    </row>
    <row r="891" spans="1:10" ht="12" customHeight="1">
      <c r="A891" s="13" t="s">
        <v>2841</v>
      </c>
      <c r="B891" s="13" t="s">
        <v>2842</v>
      </c>
      <c r="C891" s="13" t="s">
        <v>91</v>
      </c>
      <c r="D891" s="13" t="s">
        <v>697</v>
      </c>
      <c r="E891" s="13" t="s">
        <v>2636</v>
      </c>
      <c r="F891" s="13" t="s">
        <v>2843</v>
      </c>
      <c r="G891" s="20" t="str">
        <f>HYPERLINK("http://semena-nn.ru/catalog/33/80470","Фото")</f>
        <v>Фото</v>
      </c>
      <c r="H891" s="18">
        <v>15.5</v>
      </c>
      <c r="I891" s="27"/>
      <c r="J891" s="13">
        <f>H891*I891</f>
        <v>0</v>
      </c>
    </row>
    <row r="892" spans="1:10" ht="12" customHeight="1">
      <c r="A892" s="13" t="s">
        <v>8827</v>
      </c>
      <c r="B892" s="13" t="s">
        <v>8828</v>
      </c>
      <c r="C892" s="13" t="s">
        <v>91</v>
      </c>
      <c r="D892" s="13" t="s">
        <v>8717</v>
      </c>
      <c r="E892" s="13" t="s">
        <v>93</v>
      </c>
      <c r="F892" s="13" t="s">
        <v>8829</v>
      </c>
      <c r="G892" s="20" t="str">
        <f>HYPERLINK("http://www.semena-nn.ru/catalog/33/496","Фото")</f>
        <v>Фото</v>
      </c>
      <c r="H892" s="18">
        <v>28.3</v>
      </c>
      <c r="I892" s="27"/>
      <c r="J892" s="13">
        <f>H892*I892</f>
        <v>0</v>
      </c>
    </row>
    <row r="893" spans="1:10" ht="12" customHeight="1">
      <c r="A893" s="13" t="s">
        <v>8349</v>
      </c>
      <c r="B893" s="13" t="s">
        <v>8350</v>
      </c>
      <c r="C893" s="13" t="s">
        <v>91</v>
      </c>
      <c r="D893" s="13" t="s">
        <v>8317</v>
      </c>
      <c r="E893" s="13" t="s">
        <v>93</v>
      </c>
      <c r="F893" s="13" t="s">
        <v>8351</v>
      </c>
      <c r="G893" s="20" t="str">
        <f>HYPERLINK("https://semena-nn.ru/catalog/33/999000007677","Фото")</f>
        <v>Фото</v>
      </c>
      <c r="H893" s="18">
        <v>93.7</v>
      </c>
      <c r="I893" s="27"/>
      <c r="J893" s="13">
        <f>H893*I893</f>
        <v>0</v>
      </c>
    </row>
    <row r="894" spans="1:10" ht="12" customHeight="1">
      <c r="A894" s="13" t="s">
        <v>6185</v>
      </c>
      <c r="B894" s="13" t="s">
        <v>6186</v>
      </c>
      <c r="C894" s="13" t="s">
        <v>91</v>
      </c>
      <c r="D894" s="13" t="s">
        <v>6021</v>
      </c>
      <c r="E894" s="13" t="s">
        <v>93</v>
      </c>
      <c r="F894" s="13" t="s">
        <v>6187</v>
      </c>
      <c r="G894" s="20" t="str">
        <f>HYPERLINK("http://semena-nn.ru/catalog/33/1103","Фото")</f>
        <v>Фото</v>
      </c>
      <c r="H894" s="18">
        <v>41.1</v>
      </c>
      <c r="I894" s="27"/>
      <c r="J894" s="13">
        <f>H894*I894</f>
        <v>0</v>
      </c>
    </row>
    <row r="895" spans="1:10" ht="12" customHeight="1">
      <c r="A895" s="13" t="s">
        <v>7928</v>
      </c>
      <c r="B895" s="13" t="s">
        <v>7929</v>
      </c>
      <c r="C895" s="13" t="s">
        <v>91</v>
      </c>
      <c r="D895" s="13" t="s">
        <v>7728</v>
      </c>
      <c r="E895" s="13" t="s">
        <v>93</v>
      </c>
      <c r="F895" s="13" t="s">
        <v>7930</v>
      </c>
      <c r="G895" s="20" t="str">
        <f>HYPERLINK("https://semena-nn.ru/catalog/33/999000020395","Фото")</f>
        <v>Фото</v>
      </c>
      <c r="H895" s="18">
        <v>49.3</v>
      </c>
      <c r="I895" s="27"/>
      <c r="J895" s="13">
        <f>H895*I895</f>
        <v>0</v>
      </c>
    </row>
    <row r="896" spans="1:10" ht="12" customHeight="1">
      <c r="A896" s="13" t="s">
        <v>7931</v>
      </c>
      <c r="B896" s="13" t="s">
        <v>7932</v>
      </c>
      <c r="C896" s="13" t="s">
        <v>91</v>
      </c>
      <c r="D896" s="13" t="s">
        <v>7728</v>
      </c>
      <c r="E896" s="13" t="s">
        <v>93</v>
      </c>
      <c r="F896" s="13" t="s">
        <v>7933</v>
      </c>
      <c r="G896" s="20" t="str">
        <f>HYPERLINK("https://semena-nn.ru/catalog/33/999000020397","Фото")</f>
        <v>Фото</v>
      </c>
      <c r="H896" s="18">
        <v>49.3</v>
      </c>
      <c r="I896" s="27"/>
      <c r="J896" s="13">
        <f>H896*I896</f>
        <v>0</v>
      </c>
    </row>
    <row r="897" spans="1:10" ht="12" customHeight="1">
      <c r="A897" s="13" t="s">
        <v>7934</v>
      </c>
      <c r="B897" s="13" t="s">
        <v>7935</v>
      </c>
      <c r="C897" s="13" t="s">
        <v>91</v>
      </c>
      <c r="D897" s="13" t="s">
        <v>7728</v>
      </c>
      <c r="E897" s="13" t="s">
        <v>93</v>
      </c>
      <c r="F897" s="13" t="s">
        <v>7936</v>
      </c>
      <c r="G897" s="20" t="str">
        <f>HYPERLINK("https://semena-nn.ru/catalog/33/999000020398","Фото")</f>
        <v>Фото</v>
      </c>
      <c r="H897" s="18">
        <v>49.3</v>
      </c>
      <c r="I897" s="27"/>
      <c r="J897" s="13">
        <f>H897*I897</f>
        <v>0</v>
      </c>
    </row>
    <row r="898" spans="1:10" ht="12" customHeight="1">
      <c r="A898" s="13" t="s">
        <v>7937</v>
      </c>
      <c r="B898" s="13" t="s">
        <v>7938</v>
      </c>
      <c r="C898" s="13" t="s">
        <v>91</v>
      </c>
      <c r="D898" s="13" t="s">
        <v>7728</v>
      </c>
      <c r="E898" s="13" t="s">
        <v>93</v>
      </c>
      <c r="F898" s="13" t="s">
        <v>7939</v>
      </c>
      <c r="G898" s="20" t="str">
        <f>HYPERLINK("https://semena-nn.ru/catalog/33/999000020399","Фото")</f>
        <v>Фото</v>
      </c>
      <c r="H898" s="18">
        <v>49.3</v>
      </c>
      <c r="I898" s="27"/>
      <c r="J898" s="13">
        <f>H898*I898</f>
        <v>0</v>
      </c>
    </row>
    <row r="899" spans="1:10" ht="12" customHeight="1">
      <c r="A899" s="13" t="s">
        <v>7940</v>
      </c>
      <c r="B899" s="13" t="s">
        <v>7941</v>
      </c>
      <c r="C899" s="13" t="s">
        <v>91</v>
      </c>
      <c r="D899" s="13" t="s">
        <v>7728</v>
      </c>
      <c r="E899" s="13" t="s">
        <v>93</v>
      </c>
      <c r="F899" s="13" t="s">
        <v>7942</v>
      </c>
      <c r="G899" s="20" t="str">
        <f>HYPERLINK("https://semena-nn.ru/catalog/33/999000020400","Фото")</f>
        <v>Фото</v>
      </c>
      <c r="H899" s="18">
        <v>49.3</v>
      </c>
      <c r="I899" s="27"/>
      <c r="J899" s="13">
        <f>H899*I899</f>
        <v>0</v>
      </c>
    </row>
    <row r="900" spans="1:10" ht="12" customHeight="1">
      <c r="A900" s="13" t="s">
        <v>7943</v>
      </c>
      <c r="B900" s="13" t="s">
        <v>7944</v>
      </c>
      <c r="C900" s="13" t="s">
        <v>91</v>
      </c>
      <c r="D900" s="13" t="s">
        <v>7728</v>
      </c>
      <c r="E900" s="13" t="s">
        <v>93</v>
      </c>
      <c r="F900" s="13" t="s">
        <v>7945</v>
      </c>
      <c r="G900" s="20" t="str">
        <f>HYPERLINK("https://semena-nn.ru/catalog/33/999000020401","Фото")</f>
        <v>Фото</v>
      </c>
      <c r="H900" s="18">
        <v>49.3</v>
      </c>
      <c r="I900" s="27"/>
      <c r="J900" s="13">
        <f>H900*I900</f>
        <v>0</v>
      </c>
    </row>
    <row r="901" spans="1:10" ht="12" customHeight="1">
      <c r="A901" s="13" t="s">
        <v>7946</v>
      </c>
      <c r="B901" s="13" t="s">
        <v>7947</v>
      </c>
      <c r="C901" s="13" t="s">
        <v>91</v>
      </c>
      <c r="D901" s="13" t="s">
        <v>7728</v>
      </c>
      <c r="E901" s="13" t="s">
        <v>93</v>
      </c>
      <c r="F901" s="13" t="s">
        <v>7948</v>
      </c>
      <c r="G901" s="20" t="str">
        <f>HYPERLINK("https://semena-nn.ru/catalog/33/999000020402","Фото")</f>
        <v>Фото</v>
      </c>
      <c r="H901" s="18">
        <v>49.3</v>
      </c>
      <c r="I901" s="27"/>
      <c r="J901" s="13">
        <f>H901*I901</f>
        <v>0</v>
      </c>
    </row>
    <row r="902" spans="1:10" ht="12" customHeight="1">
      <c r="A902" s="13" t="s">
        <v>7949</v>
      </c>
      <c r="B902" s="13" t="s">
        <v>7950</v>
      </c>
      <c r="C902" s="13" t="s">
        <v>91</v>
      </c>
      <c r="D902" s="13" t="s">
        <v>7728</v>
      </c>
      <c r="E902" s="13" t="s">
        <v>93</v>
      </c>
      <c r="F902" s="13" t="s">
        <v>7951</v>
      </c>
      <c r="G902" s="20" t="str">
        <f>HYPERLINK("https://semena-nn.ru/catalog/33/999000020396","Фото")</f>
        <v>Фото</v>
      </c>
      <c r="H902" s="18">
        <v>49.3</v>
      </c>
      <c r="I902" s="27"/>
      <c r="J902" s="13">
        <f>H902*I902</f>
        <v>0</v>
      </c>
    </row>
    <row r="903" spans="1:10" ht="12" customHeight="1">
      <c r="A903" s="13" t="s">
        <v>7952</v>
      </c>
      <c r="B903" s="13" t="s">
        <v>7953</v>
      </c>
      <c r="C903" s="13" t="s">
        <v>91</v>
      </c>
      <c r="D903" s="13" t="s">
        <v>7728</v>
      </c>
      <c r="E903" s="13" t="s">
        <v>93</v>
      </c>
      <c r="F903" s="13" t="s">
        <v>7954</v>
      </c>
      <c r="G903" s="20" t="str">
        <f>HYPERLINK("https://semena-nn.ru/catalog/33/999000020403","Фото")</f>
        <v>Фото</v>
      </c>
      <c r="H903" s="18">
        <v>49.3</v>
      </c>
      <c r="I903" s="27"/>
      <c r="J903" s="13">
        <f>H903*I903</f>
        <v>0</v>
      </c>
    </row>
    <row r="904" spans="1:10" ht="12" customHeight="1">
      <c r="A904" s="13" t="s">
        <v>1291</v>
      </c>
      <c r="B904" s="13" t="s">
        <v>1292</v>
      </c>
      <c r="C904" s="13" t="s">
        <v>91</v>
      </c>
      <c r="D904" s="13" t="s">
        <v>697</v>
      </c>
      <c r="E904" s="13" t="s">
        <v>93</v>
      </c>
      <c r="F904" s="13" t="s">
        <v>1293</v>
      </c>
      <c r="G904" s="20" t="str">
        <f>HYPERLINK("https://semena-nn.ru/catalog/33/1120457","Фото")</f>
        <v>Фото</v>
      </c>
      <c r="H904" s="19">
        <v>36.35</v>
      </c>
      <c r="I904" s="27"/>
      <c r="J904" s="13">
        <f>H904*I904</f>
        <v>0</v>
      </c>
    </row>
    <row r="905" spans="1:10" ht="12" customHeight="1">
      <c r="A905" s="13" t="s">
        <v>5249</v>
      </c>
      <c r="B905" s="13" t="s">
        <v>5250</v>
      </c>
      <c r="C905" s="13" t="s">
        <v>91</v>
      </c>
      <c r="D905" s="13" t="s">
        <v>5136</v>
      </c>
      <c r="E905" s="13" t="s">
        <v>93</v>
      </c>
      <c r="F905" s="13" t="s">
        <v>5251</v>
      </c>
      <c r="G905" s="20" t="str">
        <f>HYPERLINK("https://semena-nn.ru/catalog/33/888000007822","Фото")</f>
        <v>Фото</v>
      </c>
      <c r="H905" s="18">
        <v>92.5</v>
      </c>
      <c r="I905" s="27"/>
      <c r="J905" s="13">
        <f>H905*I905</f>
        <v>0</v>
      </c>
    </row>
    <row r="906" spans="1:10" ht="12" customHeight="1">
      <c r="A906" s="13" t="s">
        <v>7266</v>
      </c>
      <c r="B906" s="13" t="s">
        <v>7267</v>
      </c>
      <c r="C906" s="13" t="s">
        <v>91</v>
      </c>
      <c r="D906" s="13" t="s">
        <v>7148</v>
      </c>
      <c r="E906" s="13" t="s">
        <v>93</v>
      </c>
      <c r="F906" s="13" t="s">
        <v>7268</v>
      </c>
      <c r="G906" s="20" t="str">
        <f>HYPERLINK("https://semena-nn.ru/catalog/33/1313042","Фото")</f>
        <v>Фото</v>
      </c>
      <c r="H906" s="18">
        <v>99.6</v>
      </c>
      <c r="I906" s="27"/>
      <c r="J906" s="13">
        <f>H906*I906</f>
        <v>0</v>
      </c>
    </row>
    <row r="907" spans="1:10" ht="12" customHeight="1">
      <c r="A907" s="13" t="s">
        <v>6188</v>
      </c>
      <c r="B907" s="13" t="s">
        <v>6189</v>
      </c>
      <c r="C907" s="13" t="s">
        <v>91</v>
      </c>
      <c r="D907" s="13" t="s">
        <v>6021</v>
      </c>
      <c r="E907" s="13" t="s">
        <v>93</v>
      </c>
      <c r="F907" s="13" t="s">
        <v>6190</v>
      </c>
      <c r="G907" s="20" t="str">
        <f>HYPERLINK("http://semena-nn.ru/catalog/33/1284658","Фото")</f>
        <v>Фото</v>
      </c>
      <c r="H907" s="18">
        <v>41.1</v>
      </c>
      <c r="I907" s="27"/>
      <c r="J907" s="13">
        <f>H907*I907</f>
        <v>0</v>
      </c>
    </row>
    <row r="908" spans="1:10" ht="12" customHeight="1">
      <c r="A908" s="13" t="s">
        <v>3881</v>
      </c>
      <c r="B908" s="13" t="s">
        <v>3882</v>
      </c>
      <c r="C908" s="13" t="s">
        <v>91</v>
      </c>
      <c r="D908" s="13" t="s">
        <v>3475</v>
      </c>
      <c r="E908" s="13" t="s">
        <v>93</v>
      </c>
      <c r="F908" s="13" t="s">
        <v>3883</v>
      </c>
      <c r="G908" s="20" t="str">
        <f>HYPERLINK("https://semena-nn.ru/catalog/33/111385","Фото")</f>
        <v>Фото</v>
      </c>
      <c r="H908" s="18">
        <v>18.7</v>
      </c>
      <c r="I908" s="27"/>
      <c r="J908" s="13">
        <f>H908*I908</f>
        <v>0</v>
      </c>
    </row>
    <row r="909" spans="1:10" ht="12" customHeight="1">
      <c r="A909" s="13" t="s">
        <v>2844</v>
      </c>
      <c r="B909" s="13" t="s">
        <v>2845</v>
      </c>
      <c r="C909" s="13" t="s">
        <v>91</v>
      </c>
      <c r="D909" s="13" t="s">
        <v>697</v>
      </c>
      <c r="E909" s="13" t="s">
        <v>2636</v>
      </c>
      <c r="F909" s="17" t="s">
        <v>2846</v>
      </c>
      <c r="G909" s="20" t="str">
        <f>HYPERLINK("http://semena-nn.ru/catalog/33/80416","Фото")</f>
        <v>Фото</v>
      </c>
      <c r="H909" s="19">
        <v>6.85</v>
      </c>
      <c r="I909" s="27"/>
      <c r="J909" s="13">
        <f>H909*I909</f>
        <v>0</v>
      </c>
    </row>
    <row r="910" spans="1:10" ht="12" customHeight="1">
      <c r="A910" s="13" t="s">
        <v>3254</v>
      </c>
      <c r="B910" s="13" t="s">
        <v>3255</v>
      </c>
      <c r="C910" s="13" t="s">
        <v>91</v>
      </c>
      <c r="D910" s="13" t="s">
        <v>697</v>
      </c>
      <c r="E910" s="13" t="s">
        <v>3064</v>
      </c>
      <c r="F910" s="13" t="s">
        <v>3256</v>
      </c>
      <c r="G910" s="20" t="str">
        <f>HYPERLINK("https://semena-nn.ru/catalog/33/1298443","Фото")</f>
        <v>Фото</v>
      </c>
      <c r="H910" s="19">
        <v>12.05</v>
      </c>
      <c r="I910" s="27"/>
      <c r="J910" s="13">
        <f>H910*I910</f>
        <v>0</v>
      </c>
    </row>
    <row r="911" spans="1:10" ht="12" customHeight="1">
      <c r="A911" s="13" t="s">
        <v>8830</v>
      </c>
      <c r="B911" s="13" t="s">
        <v>8831</v>
      </c>
      <c r="C911" s="13" t="s">
        <v>91</v>
      </c>
      <c r="D911" s="13" t="s">
        <v>8717</v>
      </c>
      <c r="E911" s="13" t="s">
        <v>93</v>
      </c>
      <c r="F911" s="13" t="s">
        <v>8832</v>
      </c>
      <c r="G911" s="20" t="str">
        <f>HYPERLINK("http://www.semena-nn.ru/catalog/33/1303735","Фото")</f>
        <v>Фото</v>
      </c>
      <c r="H911" s="18">
        <v>78.7</v>
      </c>
      <c r="I911" s="27"/>
      <c r="J911" s="13">
        <f>H911*I911</f>
        <v>0</v>
      </c>
    </row>
    <row r="912" spans="1:10" ht="12" customHeight="1">
      <c r="A912" s="13" t="s">
        <v>298</v>
      </c>
      <c r="B912" s="13" t="s">
        <v>299</v>
      </c>
      <c r="C912" s="13" t="s">
        <v>91</v>
      </c>
      <c r="D912" s="13" t="s">
        <v>28</v>
      </c>
      <c r="E912" s="13" t="s">
        <v>93</v>
      </c>
      <c r="F912" s="13" t="s">
        <v>300</v>
      </c>
      <c r="G912" s="20" t="str">
        <f>HYPERLINK("https://semena-nn.ru/catalog/33/999000009705","Фото")</f>
        <v>Фото</v>
      </c>
      <c r="H912" s="19">
        <v>104.95</v>
      </c>
      <c r="I912" s="27"/>
      <c r="J912" s="13">
        <f>H912*I912</f>
        <v>0</v>
      </c>
    </row>
    <row r="913" spans="1:10" ht="12" customHeight="1">
      <c r="A913" s="13" t="s">
        <v>8833</v>
      </c>
      <c r="B913" s="13" t="s">
        <v>8834</v>
      </c>
      <c r="C913" s="13" t="s">
        <v>91</v>
      </c>
      <c r="D913" s="13" t="s">
        <v>8717</v>
      </c>
      <c r="E913" s="13" t="s">
        <v>93</v>
      </c>
      <c r="F913" s="17" t="s">
        <v>8835</v>
      </c>
      <c r="G913" s="20" t="str">
        <f>HYPERLINK("http://semena-nn.ru/catalog/2/33/big_1310183.jpg","Фото")</f>
        <v>Фото</v>
      </c>
      <c r="H913" s="18">
        <v>36.700000000000003</v>
      </c>
      <c r="I913" s="27"/>
      <c r="J913" s="13">
        <f>H913*I913</f>
        <v>0</v>
      </c>
    </row>
    <row r="914" spans="1:10" ht="12" customHeight="1">
      <c r="A914" s="13" t="s">
        <v>5252</v>
      </c>
      <c r="B914" s="13" t="s">
        <v>5253</v>
      </c>
      <c r="C914" s="13" t="s">
        <v>91</v>
      </c>
      <c r="D914" s="13" t="s">
        <v>5136</v>
      </c>
      <c r="E914" s="13" t="s">
        <v>93</v>
      </c>
      <c r="F914" s="13" t="s">
        <v>5254</v>
      </c>
      <c r="G914" s="20" t="str">
        <f>HYPERLINK("https://semena-nn.ru/catalog/33/888000007823","Фото")</f>
        <v>Фото</v>
      </c>
      <c r="H914" s="18">
        <v>92.5</v>
      </c>
      <c r="I914" s="27"/>
      <c r="J914" s="13">
        <f>H914*I914</f>
        <v>0</v>
      </c>
    </row>
    <row r="915" spans="1:10" ht="12" customHeight="1">
      <c r="A915" s="13" t="s">
        <v>1294</v>
      </c>
      <c r="B915" s="13" t="s">
        <v>1295</v>
      </c>
      <c r="C915" s="13" t="s">
        <v>91</v>
      </c>
      <c r="D915" s="13" t="s">
        <v>697</v>
      </c>
      <c r="E915" s="13" t="s">
        <v>93</v>
      </c>
      <c r="F915" s="13" t="s">
        <v>1296</v>
      </c>
      <c r="G915" s="20" t="str">
        <f>HYPERLINK("http://semena-nn.ru/catalog/33/999000005805","Фото")</f>
        <v>Фото</v>
      </c>
      <c r="H915" s="19">
        <v>31.15</v>
      </c>
      <c r="I915" s="27"/>
      <c r="J915" s="13">
        <f>H915*I915</f>
        <v>0</v>
      </c>
    </row>
    <row r="916" spans="1:10" ht="12" customHeight="1">
      <c r="A916" s="13" t="s">
        <v>6501</v>
      </c>
      <c r="B916" s="13" t="s">
        <v>6502</v>
      </c>
      <c r="C916" s="13" t="s">
        <v>91</v>
      </c>
      <c r="D916" s="13" t="s">
        <v>87</v>
      </c>
      <c r="E916" s="13" t="s">
        <v>93</v>
      </c>
      <c r="F916" s="13" t="s">
        <v>6503</v>
      </c>
      <c r="G916" s="20" t="str">
        <f>HYPERLINK("http://semena-nn.ru/catalog/33/107031","Фото")</f>
        <v>Фото</v>
      </c>
      <c r="H916" s="18">
        <v>44.1</v>
      </c>
      <c r="I916" s="27"/>
      <c r="J916" s="13">
        <f>H916*I916</f>
        <v>0</v>
      </c>
    </row>
    <row r="917" spans="1:10" ht="12" customHeight="1">
      <c r="A917" s="13" t="s">
        <v>6191</v>
      </c>
      <c r="B917" s="13" t="s">
        <v>6192</v>
      </c>
      <c r="C917" s="13" t="s">
        <v>91</v>
      </c>
      <c r="D917" s="13" t="s">
        <v>6021</v>
      </c>
      <c r="E917" s="13" t="s">
        <v>93</v>
      </c>
      <c r="F917" s="13" t="s">
        <v>6193</v>
      </c>
      <c r="G917" s="20" t="str">
        <f>HYPERLINK("http://semena-nn.ru/catalog/33/1116591","Фото")</f>
        <v>Фото</v>
      </c>
      <c r="H917" s="18">
        <v>44.7</v>
      </c>
      <c r="I917" s="27"/>
      <c r="J917" s="13">
        <f>H917*I917</f>
        <v>0</v>
      </c>
    </row>
    <row r="918" spans="1:10" ht="12" customHeight="1">
      <c r="A918" s="13" t="s">
        <v>7955</v>
      </c>
      <c r="B918" s="13" t="s">
        <v>7956</v>
      </c>
      <c r="C918" s="13" t="s">
        <v>91</v>
      </c>
      <c r="D918" s="13" t="s">
        <v>7728</v>
      </c>
      <c r="E918" s="13" t="s">
        <v>93</v>
      </c>
      <c r="F918" s="13" t="s">
        <v>7957</v>
      </c>
      <c r="G918" s="20" t="str">
        <f>HYPERLINK("http://semena-nn.ru/catalog/2/33/big_97018.jpg","Фото")</f>
        <v>Фото</v>
      </c>
      <c r="H918" s="18">
        <v>40.200000000000003</v>
      </c>
      <c r="I918" s="27"/>
      <c r="J918" s="13">
        <f>H918*I918</f>
        <v>0</v>
      </c>
    </row>
    <row r="919" spans="1:10" ht="12" customHeight="1">
      <c r="A919" s="13" t="s">
        <v>8836</v>
      </c>
      <c r="B919" s="13" t="s">
        <v>8837</v>
      </c>
      <c r="C919" s="13" t="s">
        <v>91</v>
      </c>
      <c r="D919" s="13" t="s">
        <v>8717</v>
      </c>
      <c r="E919" s="13" t="s">
        <v>93</v>
      </c>
      <c r="F919" s="13" t="s">
        <v>8838</v>
      </c>
      <c r="G919" s="20" t="str">
        <f>HYPERLINK("http://semena-nn.ru/catalog/33/1308856","Фото")</f>
        <v>Фото</v>
      </c>
      <c r="H919" s="18">
        <v>73.5</v>
      </c>
      <c r="I919" s="27"/>
      <c r="J919" s="13">
        <f>H919*I919</f>
        <v>0</v>
      </c>
    </row>
    <row r="920" spans="1:10" ht="12" customHeight="1">
      <c r="A920" s="13" t="s">
        <v>6194</v>
      </c>
      <c r="B920" s="13" t="s">
        <v>6195</v>
      </c>
      <c r="C920" s="13" t="s">
        <v>91</v>
      </c>
      <c r="D920" s="13" t="s">
        <v>6021</v>
      </c>
      <c r="E920" s="13" t="s">
        <v>93</v>
      </c>
      <c r="F920" s="13" t="s">
        <v>6196</v>
      </c>
      <c r="G920" s="20" t="str">
        <f>HYPERLINK("https://semena-nn.ru/catalog/33/999000007996","Фото")</f>
        <v>Фото</v>
      </c>
      <c r="H920" s="18">
        <v>43.5</v>
      </c>
      <c r="I920" s="27"/>
      <c r="J920" s="13">
        <f>H920*I920</f>
        <v>0</v>
      </c>
    </row>
    <row r="921" spans="1:10" ht="12" customHeight="1">
      <c r="A921" s="13" t="s">
        <v>8839</v>
      </c>
      <c r="B921" s="13" t="s">
        <v>8840</v>
      </c>
      <c r="C921" s="13" t="s">
        <v>91</v>
      </c>
      <c r="D921" s="13" t="s">
        <v>8717</v>
      </c>
      <c r="E921" s="13" t="s">
        <v>93</v>
      </c>
      <c r="F921" s="13" t="s">
        <v>8841</v>
      </c>
      <c r="G921" s="20" t="str">
        <f>HYPERLINK("https://semena-nn.ru/catalog/33/999000012191","Фото")</f>
        <v>Фото</v>
      </c>
      <c r="H921" s="18">
        <v>25.7</v>
      </c>
      <c r="I921" s="27"/>
      <c r="J921" s="13">
        <f>H921*I921</f>
        <v>0</v>
      </c>
    </row>
    <row r="922" spans="1:10" ht="12" customHeight="1">
      <c r="A922" s="13" t="s">
        <v>8352</v>
      </c>
      <c r="B922" s="13" t="s">
        <v>8353</v>
      </c>
      <c r="C922" s="13" t="s">
        <v>91</v>
      </c>
      <c r="D922" s="13" t="s">
        <v>8317</v>
      </c>
      <c r="E922" s="13" t="s">
        <v>93</v>
      </c>
      <c r="F922" s="13" t="s">
        <v>8354</v>
      </c>
      <c r="G922" s="20" t="str">
        <f>HYPERLINK("https://semena-nn.ru/catalog/33/1303083","Фото")</f>
        <v>Фото</v>
      </c>
      <c r="H922" s="19">
        <v>104.75</v>
      </c>
      <c r="I922" s="27"/>
      <c r="J922" s="13">
        <f>H922*I922</f>
        <v>0</v>
      </c>
    </row>
    <row r="923" spans="1:10" ht="12" customHeight="1">
      <c r="A923" s="13" t="s">
        <v>6197</v>
      </c>
      <c r="B923" s="13" t="s">
        <v>6198</v>
      </c>
      <c r="C923" s="13" t="s">
        <v>91</v>
      </c>
      <c r="D923" s="13" t="s">
        <v>6021</v>
      </c>
      <c r="E923" s="13" t="s">
        <v>93</v>
      </c>
      <c r="F923" s="13" t="s">
        <v>6199</v>
      </c>
      <c r="G923" s="20" t="str">
        <f>HYPERLINK("http://semena-nn.ru/catalog/33/114003","Фото")</f>
        <v>Фото</v>
      </c>
      <c r="H923" s="19">
        <v>38.65</v>
      </c>
      <c r="I923" s="27"/>
      <c r="J923" s="13">
        <f>H923*I923</f>
        <v>0</v>
      </c>
    </row>
    <row r="924" spans="1:10" ht="12" customHeight="1">
      <c r="A924" s="13" t="s">
        <v>3884</v>
      </c>
      <c r="B924" s="13" t="s">
        <v>3885</v>
      </c>
      <c r="C924" s="13" t="s">
        <v>91</v>
      </c>
      <c r="D924" s="13" t="s">
        <v>3475</v>
      </c>
      <c r="E924" s="13" t="s">
        <v>93</v>
      </c>
      <c r="F924" s="13" t="s">
        <v>3886</v>
      </c>
      <c r="G924" s="20" t="str">
        <f>HYPERLINK("http://semena-nn.ru/catalog/33/113419","Фото")</f>
        <v>Фото</v>
      </c>
      <c r="H924" s="19">
        <v>63.05</v>
      </c>
      <c r="I924" s="27"/>
      <c r="J924" s="13">
        <f>H924*I924</f>
        <v>0</v>
      </c>
    </row>
    <row r="925" spans="1:10" ht="12" customHeight="1">
      <c r="A925" s="13" t="s">
        <v>3887</v>
      </c>
      <c r="B925" s="13" t="s">
        <v>3888</v>
      </c>
      <c r="C925" s="13" t="s">
        <v>91</v>
      </c>
      <c r="D925" s="13" t="s">
        <v>3475</v>
      </c>
      <c r="E925" s="13" t="s">
        <v>93</v>
      </c>
      <c r="F925" s="13" t="s">
        <v>3889</v>
      </c>
      <c r="G925" s="20" t="str">
        <f>HYPERLINK("http://semena-nn.ru/catalog/2/33/big_1121460.jpg","Фото")</f>
        <v>Фото</v>
      </c>
      <c r="H925" s="19">
        <v>93.75</v>
      </c>
      <c r="I925" s="27"/>
      <c r="J925" s="13">
        <f>H925*I925</f>
        <v>0</v>
      </c>
    </row>
    <row r="926" spans="1:10" ht="12" customHeight="1">
      <c r="A926" s="13" t="s">
        <v>2847</v>
      </c>
      <c r="B926" s="13" t="s">
        <v>2848</v>
      </c>
      <c r="C926" s="13" t="s">
        <v>91</v>
      </c>
      <c r="D926" s="13" t="s">
        <v>697</v>
      </c>
      <c r="E926" s="13" t="s">
        <v>2636</v>
      </c>
      <c r="F926" s="13" t="s">
        <v>2849</v>
      </c>
      <c r="G926" s="20" t="str">
        <f>HYPERLINK("http://semena-nn.ru/catalog/33/3100","Фото")</f>
        <v>Фото</v>
      </c>
      <c r="H926" s="18">
        <v>14.8</v>
      </c>
      <c r="I926" s="27"/>
      <c r="J926" s="13">
        <f>H926*I926</f>
        <v>0</v>
      </c>
    </row>
    <row r="927" spans="1:10" ht="12" customHeight="1">
      <c r="A927" s="13" t="s">
        <v>3257</v>
      </c>
      <c r="B927" s="13" t="s">
        <v>3258</v>
      </c>
      <c r="C927" s="13" t="s">
        <v>91</v>
      </c>
      <c r="D927" s="13" t="s">
        <v>697</v>
      </c>
      <c r="E927" s="13" t="s">
        <v>3064</v>
      </c>
      <c r="F927" s="13" t="s">
        <v>3259</v>
      </c>
      <c r="G927" s="20" t="str">
        <f>HYPERLINK("https://semena-nn.ru/catalog/33/1305009","Фото")</f>
        <v>Фото</v>
      </c>
      <c r="H927" s="19">
        <v>17.850000000000001</v>
      </c>
      <c r="I927" s="27"/>
      <c r="J927" s="13">
        <f>H927*I927</f>
        <v>0</v>
      </c>
    </row>
    <row r="928" spans="1:10" ht="12" customHeight="1">
      <c r="A928" s="13" t="s">
        <v>8842</v>
      </c>
      <c r="B928" s="13" t="s">
        <v>8843</v>
      </c>
      <c r="C928" s="13" t="s">
        <v>91</v>
      </c>
      <c r="D928" s="13" t="s">
        <v>8717</v>
      </c>
      <c r="E928" s="13" t="s">
        <v>93</v>
      </c>
      <c r="F928" s="13" t="s">
        <v>8844</v>
      </c>
      <c r="G928" s="20" t="str">
        <f>HYPERLINK("http://semena-nn.ru/catalog/33/1307110","Фото")</f>
        <v>Фото</v>
      </c>
      <c r="H928" s="18">
        <v>65.599999999999994</v>
      </c>
      <c r="I928" s="27"/>
      <c r="J928" s="13">
        <f>H928*I928</f>
        <v>0</v>
      </c>
    </row>
    <row r="929" spans="1:10" ht="12" customHeight="1">
      <c r="A929" s="13" t="s">
        <v>3890</v>
      </c>
      <c r="B929" s="13" t="s">
        <v>3891</v>
      </c>
      <c r="C929" s="13" t="s">
        <v>91</v>
      </c>
      <c r="D929" s="13" t="s">
        <v>3475</v>
      </c>
      <c r="E929" s="13" t="s">
        <v>93</v>
      </c>
      <c r="F929" s="13" t="s">
        <v>3892</v>
      </c>
      <c r="G929" s="20" t="str">
        <f>HYPERLINK("https://semena-nn.ru/catalog/33/999000020733","Фото")</f>
        <v>Фото</v>
      </c>
      <c r="H929" s="19">
        <v>39.979999999999997</v>
      </c>
      <c r="I929" s="27"/>
      <c r="J929" s="13">
        <f>H929*I929</f>
        <v>0</v>
      </c>
    </row>
    <row r="930" spans="1:10" ht="12" customHeight="1">
      <c r="A930" s="13" t="s">
        <v>6200</v>
      </c>
      <c r="B930" s="13" t="s">
        <v>6201</v>
      </c>
      <c r="C930" s="13" t="s">
        <v>91</v>
      </c>
      <c r="D930" s="13" t="s">
        <v>6021</v>
      </c>
      <c r="E930" s="13" t="s">
        <v>93</v>
      </c>
      <c r="F930" s="13" t="s">
        <v>6202</v>
      </c>
      <c r="G930" s="20" t="str">
        <f>HYPERLINK("http://semena-nn.ru/catalog/33/109976","Фото")</f>
        <v>Фото</v>
      </c>
      <c r="H930" s="18">
        <v>43.5</v>
      </c>
      <c r="I930" s="27"/>
      <c r="J930" s="13">
        <f>H930*I930</f>
        <v>0</v>
      </c>
    </row>
    <row r="931" spans="1:10" ht="12" customHeight="1">
      <c r="A931" s="13" t="s">
        <v>7958</v>
      </c>
      <c r="B931" s="13" t="s">
        <v>7959</v>
      </c>
      <c r="C931" s="13" t="s">
        <v>91</v>
      </c>
      <c r="D931" s="13" t="s">
        <v>7728</v>
      </c>
      <c r="E931" s="13" t="s">
        <v>93</v>
      </c>
      <c r="F931" s="13" t="s">
        <v>7960</v>
      </c>
      <c r="G931" s="20" t="str">
        <f>HYPERLINK("https://semena-nn.ru/catalog/33/999000020404","Фото")</f>
        <v>Фото</v>
      </c>
      <c r="H931" s="18">
        <v>49.3</v>
      </c>
      <c r="I931" s="27"/>
      <c r="J931" s="13">
        <f>H931*I931</f>
        <v>0</v>
      </c>
    </row>
    <row r="932" spans="1:10" ht="12" customHeight="1">
      <c r="A932" s="13" t="s">
        <v>3893</v>
      </c>
      <c r="B932" s="13" t="s">
        <v>3894</v>
      </c>
      <c r="C932" s="13" t="s">
        <v>91</v>
      </c>
      <c r="D932" s="13" t="s">
        <v>3475</v>
      </c>
      <c r="E932" s="13" t="s">
        <v>93</v>
      </c>
      <c r="F932" s="13" t="s">
        <v>3895</v>
      </c>
      <c r="G932" s="20" t="str">
        <f>HYPERLINK("http://semena-nn.ru/admin/catalog/109937","Фото")</f>
        <v>Фото</v>
      </c>
      <c r="H932" s="19">
        <v>39.979999999999997</v>
      </c>
      <c r="I932" s="27"/>
      <c r="J932" s="13">
        <f>H932*I932</f>
        <v>0</v>
      </c>
    </row>
    <row r="933" spans="1:10" ht="12" customHeight="1">
      <c r="A933" s="13" t="s">
        <v>116</v>
      </c>
      <c r="B933" s="13" t="s">
        <v>117</v>
      </c>
      <c r="C933" s="13" t="s">
        <v>91</v>
      </c>
      <c r="D933" s="13" t="s">
        <v>92</v>
      </c>
      <c r="E933" s="13" t="s">
        <v>93</v>
      </c>
      <c r="F933" s="13" t="s">
        <v>118</v>
      </c>
      <c r="G933" s="20" t="str">
        <f>HYPERLINK("https://semena-nn.ru/catalog/33/888000000213","Фото")</f>
        <v>Фото</v>
      </c>
      <c r="H933" s="19">
        <v>68.25</v>
      </c>
      <c r="I933" s="27"/>
      <c r="J933" s="13">
        <f>H933*I933</f>
        <v>0</v>
      </c>
    </row>
    <row r="934" spans="1:10" ht="12" customHeight="1">
      <c r="A934" s="13" t="s">
        <v>7269</v>
      </c>
      <c r="B934" s="13" t="s">
        <v>7270</v>
      </c>
      <c r="C934" s="13" t="s">
        <v>91</v>
      </c>
      <c r="D934" s="13" t="s">
        <v>7148</v>
      </c>
      <c r="E934" s="13" t="s">
        <v>93</v>
      </c>
      <c r="F934" s="13" t="s">
        <v>7271</v>
      </c>
      <c r="G934" s="20" t="str">
        <f>HYPERLINK("https://semena-nn.ru/catalog/33/1314204","Фото")</f>
        <v>Фото</v>
      </c>
      <c r="H934" s="18">
        <v>85.7</v>
      </c>
      <c r="I934" s="27"/>
      <c r="J934" s="13">
        <f>H934*I934</f>
        <v>0</v>
      </c>
    </row>
    <row r="935" spans="1:10" ht="12" customHeight="1">
      <c r="A935" s="13" t="s">
        <v>3896</v>
      </c>
      <c r="B935" s="13" t="s">
        <v>3897</v>
      </c>
      <c r="C935" s="13" t="s">
        <v>91</v>
      </c>
      <c r="D935" s="13" t="s">
        <v>3475</v>
      </c>
      <c r="E935" s="13" t="s">
        <v>93</v>
      </c>
      <c r="F935" s="13" t="s">
        <v>3898</v>
      </c>
      <c r="G935" s="20" t="str">
        <f>HYPERLINK("http://www.semena-nn.ru/catalog/33/1290209","Фото")</f>
        <v>Фото</v>
      </c>
      <c r="H935" s="18">
        <v>29.4</v>
      </c>
      <c r="I935" s="27"/>
      <c r="J935" s="13">
        <f>H935*I935</f>
        <v>0</v>
      </c>
    </row>
    <row r="936" spans="1:10" ht="12" customHeight="1">
      <c r="A936" s="13" t="s">
        <v>6293</v>
      </c>
      <c r="B936" s="13" t="s">
        <v>6294</v>
      </c>
      <c r="C936" s="13" t="s">
        <v>91</v>
      </c>
      <c r="D936" s="13" t="s">
        <v>6295</v>
      </c>
      <c r="E936" s="13" t="s">
        <v>93</v>
      </c>
      <c r="F936" s="13" t="s">
        <v>6296</v>
      </c>
      <c r="G936" s="20" t="str">
        <f>HYPERLINK("https://semena-nn.ru/catalog/33/999000011956","Фото")</f>
        <v>Фото</v>
      </c>
      <c r="H936" s="18">
        <v>115.5</v>
      </c>
      <c r="I936" s="27"/>
      <c r="J936" s="13">
        <f>H936*I936</f>
        <v>0</v>
      </c>
    </row>
    <row r="937" spans="1:10" ht="12" customHeight="1">
      <c r="A937" s="13" t="s">
        <v>3899</v>
      </c>
      <c r="B937" s="13" t="s">
        <v>3900</v>
      </c>
      <c r="C937" s="13" t="s">
        <v>91</v>
      </c>
      <c r="D937" s="13" t="s">
        <v>3475</v>
      </c>
      <c r="E937" s="13" t="s">
        <v>93</v>
      </c>
      <c r="F937" s="13" t="s">
        <v>3901</v>
      </c>
      <c r="G937" s="20" t="str">
        <f>HYPERLINK("http://www.semena-nn.ru/catalog/33/96870","Фото")</f>
        <v>Фото</v>
      </c>
      <c r="H937" s="18">
        <v>54.1</v>
      </c>
      <c r="I937" s="27"/>
      <c r="J937" s="13">
        <f>H937*I937</f>
        <v>0</v>
      </c>
    </row>
    <row r="938" spans="1:10" ht="12" customHeight="1">
      <c r="A938" s="13" t="s">
        <v>6203</v>
      </c>
      <c r="B938" s="13" t="s">
        <v>6204</v>
      </c>
      <c r="C938" s="13" t="s">
        <v>91</v>
      </c>
      <c r="D938" s="13" t="s">
        <v>6021</v>
      </c>
      <c r="E938" s="13" t="s">
        <v>93</v>
      </c>
      <c r="F938" s="13" t="s">
        <v>6205</v>
      </c>
      <c r="G938" s="20" t="str">
        <f>HYPERLINK("http://semena-nn.ru/catalog/33/1106","Фото")</f>
        <v>Фото</v>
      </c>
      <c r="H938" s="18">
        <v>41.1</v>
      </c>
      <c r="I938" s="27"/>
      <c r="J938" s="13">
        <f>H938*I938</f>
        <v>0</v>
      </c>
    </row>
    <row r="939" spans="1:10" ht="12" customHeight="1">
      <c r="A939" s="13" t="s">
        <v>7961</v>
      </c>
      <c r="B939" s="13" t="s">
        <v>7962</v>
      </c>
      <c r="C939" s="13" t="s">
        <v>91</v>
      </c>
      <c r="D939" s="13" t="s">
        <v>7728</v>
      </c>
      <c r="E939" s="13" t="s">
        <v>93</v>
      </c>
      <c r="F939" s="13" t="s">
        <v>7963</v>
      </c>
      <c r="G939" s="20" t="str">
        <f>HYPERLINK("http://semena-nn.ru/catalog/2/33/big_96907.jpg","Фото")</f>
        <v>Фото</v>
      </c>
      <c r="H939" s="19">
        <v>38.25</v>
      </c>
      <c r="I939" s="27"/>
      <c r="J939" s="13">
        <f>H939*I939</f>
        <v>0</v>
      </c>
    </row>
    <row r="940" spans="1:10" ht="12" customHeight="1">
      <c r="A940" s="13" t="s">
        <v>6206</v>
      </c>
      <c r="B940" s="13" t="s">
        <v>6207</v>
      </c>
      <c r="C940" s="13" t="s">
        <v>91</v>
      </c>
      <c r="D940" s="13" t="s">
        <v>6021</v>
      </c>
      <c r="E940" s="13" t="s">
        <v>93</v>
      </c>
      <c r="F940" s="13" t="s">
        <v>6208</v>
      </c>
      <c r="G940" s="20" t="str">
        <f>HYPERLINK("http://semena-nn.ru/catalog/2/33/big_1300600.jpg","Фото")</f>
        <v>Фото</v>
      </c>
      <c r="H940" s="18">
        <v>38.700000000000003</v>
      </c>
      <c r="I940" s="27"/>
      <c r="J940" s="13">
        <f>H940*I940</f>
        <v>0</v>
      </c>
    </row>
    <row r="941" spans="1:10" ht="12" customHeight="1">
      <c r="A941" s="13" t="s">
        <v>7272</v>
      </c>
      <c r="B941" s="13" t="s">
        <v>7273</v>
      </c>
      <c r="C941" s="13" t="s">
        <v>91</v>
      </c>
      <c r="D941" s="13" t="s">
        <v>7148</v>
      </c>
      <c r="E941" s="13" t="s">
        <v>93</v>
      </c>
      <c r="F941" s="13" t="s">
        <v>7274</v>
      </c>
      <c r="G941" s="20" t="str">
        <f>HYPERLINK("https://semena-nn.ru/catalog/33/888000001639","Фото")</f>
        <v>Фото</v>
      </c>
      <c r="H941" s="15">
        <v>72</v>
      </c>
      <c r="I941" s="27"/>
      <c r="J941" s="13">
        <f>H941*I941</f>
        <v>0</v>
      </c>
    </row>
    <row r="942" spans="1:10" ht="12" customHeight="1">
      <c r="A942" s="13" t="s">
        <v>6297</v>
      </c>
      <c r="B942" s="13" t="s">
        <v>6298</v>
      </c>
      <c r="C942" s="13" t="s">
        <v>91</v>
      </c>
      <c r="D942" s="13" t="s">
        <v>6295</v>
      </c>
      <c r="E942" s="13" t="s">
        <v>93</v>
      </c>
      <c r="F942" s="13" t="s">
        <v>6299</v>
      </c>
      <c r="G942" s="20" t="str">
        <f>HYPERLINK("http://semena-nn.ru/catalog/33/1106","Фото")</f>
        <v>Фото</v>
      </c>
      <c r="H942" s="19">
        <v>152.25</v>
      </c>
      <c r="I942" s="27"/>
      <c r="J942" s="13">
        <f>H942*I942</f>
        <v>0</v>
      </c>
    </row>
    <row r="943" spans="1:10" ht="12" customHeight="1">
      <c r="A943" s="13" t="s">
        <v>6209</v>
      </c>
      <c r="B943" s="13" t="s">
        <v>6210</v>
      </c>
      <c r="C943" s="13" t="s">
        <v>91</v>
      </c>
      <c r="D943" s="13" t="s">
        <v>6021</v>
      </c>
      <c r="E943" s="13" t="s">
        <v>93</v>
      </c>
      <c r="F943" s="13" t="s">
        <v>6211</v>
      </c>
      <c r="G943" s="20" t="str">
        <f>HYPERLINK("http://semena-nn.ru/catalog/33/1116592","Фото")</f>
        <v>Фото</v>
      </c>
      <c r="H943" s="18">
        <v>45.9</v>
      </c>
      <c r="I943" s="27"/>
      <c r="J943" s="13">
        <f>H943*I943</f>
        <v>0</v>
      </c>
    </row>
    <row r="944" spans="1:10" ht="12" customHeight="1">
      <c r="A944" s="13" t="s">
        <v>7275</v>
      </c>
      <c r="B944" s="13" t="s">
        <v>7276</v>
      </c>
      <c r="C944" s="13" t="s">
        <v>91</v>
      </c>
      <c r="D944" s="13" t="s">
        <v>7148</v>
      </c>
      <c r="E944" s="13" t="s">
        <v>93</v>
      </c>
      <c r="F944" s="13" t="s">
        <v>7277</v>
      </c>
      <c r="G944" s="20" t="str">
        <f>HYPERLINK("https://semena-nn.ru/catalog/33/888000007465","Фото")</f>
        <v>Фото</v>
      </c>
      <c r="H944" s="18">
        <v>65.5</v>
      </c>
      <c r="I944" s="27"/>
      <c r="J944" s="13">
        <f>H944*I944</f>
        <v>0</v>
      </c>
    </row>
    <row r="945" spans="1:10" ht="12" customHeight="1">
      <c r="A945" s="13" t="s">
        <v>6999</v>
      </c>
      <c r="B945" s="13" t="s">
        <v>7000</v>
      </c>
      <c r="C945" s="13" t="s">
        <v>91</v>
      </c>
      <c r="D945" s="13" t="s">
        <v>6927</v>
      </c>
      <c r="E945" s="13" t="s">
        <v>93</v>
      </c>
      <c r="F945" s="13" t="s">
        <v>7001</v>
      </c>
      <c r="G945" s="20" t="str">
        <f>HYPERLINK("https://semena-nn.ru/catalog/33/888000000301","Фото")</f>
        <v>Фото</v>
      </c>
      <c r="H945" s="19">
        <v>41.75</v>
      </c>
      <c r="I945" s="27"/>
      <c r="J945" s="13">
        <f>H945*I945</f>
        <v>0</v>
      </c>
    </row>
    <row r="946" spans="1:10" ht="12" customHeight="1">
      <c r="A946" s="13" t="s">
        <v>3902</v>
      </c>
      <c r="B946" s="13" t="s">
        <v>3903</v>
      </c>
      <c r="C946" s="13" t="s">
        <v>91</v>
      </c>
      <c r="D946" s="13" t="s">
        <v>3475</v>
      </c>
      <c r="E946" s="13" t="s">
        <v>93</v>
      </c>
      <c r="F946" s="13" t="s">
        <v>3904</v>
      </c>
      <c r="G946" s="20" t="str">
        <f>HYPERLINK("http://semena-nn.ru/catalog/33/1290551","Фото")</f>
        <v>Фото</v>
      </c>
      <c r="H946" s="18">
        <v>45.9</v>
      </c>
      <c r="I946" s="27"/>
      <c r="J946" s="13">
        <f>H946*I946</f>
        <v>0</v>
      </c>
    </row>
    <row r="947" spans="1:10" ht="12" customHeight="1">
      <c r="A947" s="13" t="s">
        <v>7964</v>
      </c>
      <c r="B947" s="13" t="s">
        <v>7965</v>
      </c>
      <c r="C947" s="13" t="s">
        <v>91</v>
      </c>
      <c r="D947" s="13" t="s">
        <v>7728</v>
      </c>
      <c r="E947" s="13" t="s">
        <v>93</v>
      </c>
      <c r="F947" s="13" t="s">
        <v>7966</v>
      </c>
      <c r="G947" s="20" t="str">
        <f>HYPERLINK("http://www.semena-nn.ru/catalog/33/1288563","Фото")</f>
        <v>Фото</v>
      </c>
      <c r="H947" s="18">
        <v>58.8</v>
      </c>
      <c r="I947" s="27"/>
      <c r="J947" s="13">
        <f>H947*I947</f>
        <v>0</v>
      </c>
    </row>
    <row r="948" spans="1:10" ht="12" customHeight="1">
      <c r="A948" s="13" t="s">
        <v>301</v>
      </c>
      <c r="B948" s="13" t="s">
        <v>302</v>
      </c>
      <c r="C948" s="13" t="s">
        <v>91</v>
      </c>
      <c r="D948" s="13" t="s">
        <v>28</v>
      </c>
      <c r="E948" s="13" t="s">
        <v>93</v>
      </c>
      <c r="F948" s="13" t="s">
        <v>303</v>
      </c>
      <c r="G948" s="20" t="str">
        <f>HYPERLINK("https://semena-nn.ru/catalog/33/999000009706","Фото")</f>
        <v>Фото</v>
      </c>
      <c r="H948" s="19">
        <v>66.36</v>
      </c>
      <c r="I948" s="27"/>
      <c r="J948" s="13">
        <f>H948*I948</f>
        <v>0</v>
      </c>
    </row>
    <row r="949" spans="1:10" ht="12" customHeight="1">
      <c r="A949" s="13" t="s">
        <v>304</v>
      </c>
      <c r="B949" s="13" t="s">
        <v>305</v>
      </c>
      <c r="C949" s="13" t="s">
        <v>91</v>
      </c>
      <c r="D949" s="13" t="s">
        <v>28</v>
      </c>
      <c r="E949" s="13" t="s">
        <v>93</v>
      </c>
      <c r="F949" s="13" t="s">
        <v>306</v>
      </c>
      <c r="G949" s="20" t="str">
        <f>HYPERLINK("https://semena-nn.ru/catalog/33/999000009707","Фото")</f>
        <v>Фото</v>
      </c>
      <c r="H949" s="19">
        <v>66.260000000000005</v>
      </c>
      <c r="I949" s="27"/>
      <c r="J949" s="13">
        <f>H949*I949</f>
        <v>0</v>
      </c>
    </row>
    <row r="950" spans="1:10" ht="12" customHeight="1">
      <c r="A950" s="13" t="s">
        <v>119</v>
      </c>
      <c r="B950" s="13" t="s">
        <v>120</v>
      </c>
      <c r="C950" s="13" t="s">
        <v>91</v>
      </c>
      <c r="D950" s="13" t="s">
        <v>92</v>
      </c>
      <c r="E950" s="13" t="s">
        <v>93</v>
      </c>
      <c r="F950" s="13" t="s">
        <v>121</v>
      </c>
      <c r="G950" s="20" t="str">
        <f>HYPERLINK("https://semena-nn.ru/catalog/33/888000000214","Фото")</f>
        <v>Фото</v>
      </c>
      <c r="H950" s="18">
        <v>61.4</v>
      </c>
      <c r="I950" s="27"/>
      <c r="J950" s="13">
        <f>H950*I950</f>
        <v>0</v>
      </c>
    </row>
    <row r="951" spans="1:10" ht="12" customHeight="1">
      <c r="A951" s="13" t="s">
        <v>122</v>
      </c>
      <c r="B951" s="13" t="s">
        <v>123</v>
      </c>
      <c r="C951" s="13" t="s">
        <v>91</v>
      </c>
      <c r="D951" s="13" t="s">
        <v>92</v>
      </c>
      <c r="E951" s="13" t="s">
        <v>93</v>
      </c>
      <c r="F951" s="13" t="s">
        <v>124</v>
      </c>
      <c r="G951" s="20" t="str">
        <f>HYPERLINK("https://semena-nn.ru/catalog/33/1303128","Фото")</f>
        <v>Фото</v>
      </c>
      <c r="H951" s="15">
        <v>75</v>
      </c>
      <c r="I951" s="27"/>
      <c r="J951" s="13">
        <f>H951*I951</f>
        <v>0</v>
      </c>
    </row>
    <row r="952" spans="1:10" ht="12" customHeight="1">
      <c r="A952" s="13" t="s">
        <v>7967</v>
      </c>
      <c r="B952" s="13" t="s">
        <v>7968</v>
      </c>
      <c r="C952" s="13" t="s">
        <v>91</v>
      </c>
      <c r="D952" s="13" t="s">
        <v>7728</v>
      </c>
      <c r="E952" s="13" t="s">
        <v>93</v>
      </c>
      <c r="F952" s="13" t="s">
        <v>7969</v>
      </c>
      <c r="G952" s="20" t="str">
        <f>HYPERLINK("http://www.semena-nn.ru/catalog/33/99270","Фото")</f>
        <v>Фото</v>
      </c>
      <c r="H952" s="19">
        <v>57.05</v>
      </c>
      <c r="I952" s="27"/>
      <c r="J952" s="13">
        <f>H952*I952</f>
        <v>0</v>
      </c>
    </row>
    <row r="953" spans="1:10" ht="12" customHeight="1">
      <c r="A953" s="13" t="s">
        <v>6212</v>
      </c>
      <c r="B953" s="13" t="s">
        <v>6213</v>
      </c>
      <c r="C953" s="13" t="s">
        <v>91</v>
      </c>
      <c r="D953" s="13" t="s">
        <v>6021</v>
      </c>
      <c r="E953" s="13" t="s">
        <v>93</v>
      </c>
      <c r="F953" s="13" t="s">
        <v>6214</v>
      </c>
      <c r="G953" s="20" t="str">
        <f>HYPERLINK("http://semena-nn.ru/catalog/33/99064","Фото")</f>
        <v>Фото</v>
      </c>
      <c r="H953" s="18">
        <v>44.7</v>
      </c>
      <c r="I953" s="27"/>
      <c r="J953" s="13">
        <f>H953*I953</f>
        <v>0</v>
      </c>
    </row>
    <row r="954" spans="1:10" ht="12" customHeight="1">
      <c r="A954" s="13" t="s">
        <v>7970</v>
      </c>
      <c r="B954" s="13" t="s">
        <v>7971</v>
      </c>
      <c r="C954" s="13" t="s">
        <v>91</v>
      </c>
      <c r="D954" s="13" t="s">
        <v>7728</v>
      </c>
      <c r="E954" s="13" t="s">
        <v>93</v>
      </c>
      <c r="F954" s="13" t="s">
        <v>7972</v>
      </c>
      <c r="G954" s="20" t="str">
        <f>HYPERLINK("http://semena-nn.ru/catalog/33/1124406","Фото")</f>
        <v>Фото</v>
      </c>
      <c r="H954" s="18">
        <v>45.8</v>
      </c>
      <c r="I954" s="27"/>
      <c r="J954" s="13">
        <f>H954*I954</f>
        <v>0</v>
      </c>
    </row>
    <row r="955" spans="1:10" ht="12" customHeight="1">
      <c r="A955" s="13" t="s">
        <v>1297</v>
      </c>
      <c r="B955" s="13" t="s">
        <v>1298</v>
      </c>
      <c r="C955" s="13" t="s">
        <v>91</v>
      </c>
      <c r="D955" s="13" t="s">
        <v>697</v>
      </c>
      <c r="E955" s="13" t="s">
        <v>93</v>
      </c>
      <c r="F955" s="13" t="s">
        <v>1299</v>
      </c>
      <c r="G955" s="20" t="str">
        <f>HYPERLINK("http://semena-nn.ru/catalog/33/111270","Фото")</f>
        <v>Фото</v>
      </c>
      <c r="H955" s="19">
        <v>39.950000000000003</v>
      </c>
      <c r="I955" s="27"/>
      <c r="J955" s="13">
        <f>H955*I955</f>
        <v>0</v>
      </c>
    </row>
    <row r="956" spans="1:10" ht="12" customHeight="1">
      <c r="A956" s="13" t="s">
        <v>8518</v>
      </c>
      <c r="B956" s="13" t="s">
        <v>8519</v>
      </c>
      <c r="C956" s="13" t="s">
        <v>91</v>
      </c>
      <c r="D956" s="13" t="s">
        <v>8498</v>
      </c>
      <c r="E956" s="13" t="s">
        <v>93</v>
      </c>
      <c r="F956" s="13" t="s">
        <v>8520</v>
      </c>
      <c r="G956" s="20" t="str">
        <f>HYPERLINK("http://www.semena-nn.ru/catalog/33/1291198","Фото")</f>
        <v>Фото</v>
      </c>
      <c r="H956" s="18">
        <v>26.4</v>
      </c>
      <c r="I956" s="27"/>
      <c r="J956" s="13">
        <f>H956*I956</f>
        <v>0</v>
      </c>
    </row>
    <row r="957" spans="1:10" ht="12" customHeight="1">
      <c r="A957" s="13" t="s">
        <v>125</v>
      </c>
      <c r="B957" s="13" t="s">
        <v>126</v>
      </c>
      <c r="C957" s="13" t="s">
        <v>91</v>
      </c>
      <c r="D957" s="13" t="s">
        <v>92</v>
      </c>
      <c r="E957" s="13" t="s">
        <v>93</v>
      </c>
      <c r="F957" s="13" t="s">
        <v>127</v>
      </c>
      <c r="G957" s="20" t="str">
        <f>HYPERLINK("https://semena-nn.ru/catalog/33/888000000215","Фото")</f>
        <v>Фото</v>
      </c>
      <c r="H957" s="19">
        <v>68.25</v>
      </c>
      <c r="I957" s="27"/>
      <c r="J957" s="13">
        <f>H957*I957</f>
        <v>0</v>
      </c>
    </row>
    <row r="958" spans="1:10" ht="12" customHeight="1">
      <c r="A958" s="13" t="s">
        <v>6215</v>
      </c>
      <c r="B958" s="13" t="s">
        <v>6216</v>
      </c>
      <c r="C958" s="13" t="s">
        <v>91</v>
      </c>
      <c r="D958" s="13" t="s">
        <v>6021</v>
      </c>
      <c r="E958" s="13" t="s">
        <v>93</v>
      </c>
      <c r="F958" s="13" t="s">
        <v>6217</v>
      </c>
      <c r="G958" s="20" t="str">
        <f>HYPERLINK("http://semena-nn.ru/catalog/33/1310753","Фото")</f>
        <v>Фото</v>
      </c>
      <c r="H958" s="18">
        <v>44.7</v>
      </c>
      <c r="I958" s="27"/>
      <c r="J958" s="13">
        <f>H958*I958</f>
        <v>0</v>
      </c>
    </row>
    <row r="959" spans="1:10" ht="12" customHeight="1">
      <c r="A959" s="13" t="s">
        <v>7278</v>
      </c>
      <c r="B959" s="13" t="s">
        <v>7279</v>
      </c>
      <c r="C959" s="13" t="s">
        <v>91</v>
      </c>
      <c r="D959" s="13" t="s">
        <v>7148</v>
      </c>
      <c r="E959" s="13" t="s">
        <v>93</v>
      </c>
      <c r="F959" s="13" t="s">
        <v>7280</v>
      </c>
      <c r="G959" s="20" t="str">
        <f>HYPERLINK("https://semena-nn.ru/catalog/33/888000001392","Фото")</f>
        <v>Фото</v>
      </c>
      <c r="H959" s="18">
        <v>139.9</v>
      </c>
      <c r="I959" s="27"/>
      <c r="J959" s="13">
        <f>H959*I959</f>
        <v>0</v>
      </c>
    </row>
    <row r="960" spans="1:10" ht="12" customHeight="1">
      <c r="A960" s="13" t="s">
        <v>1300</v>
      </c>
      <c r="B960" s="13" t="s">
        <v>1301</v>
      </c>
      <c r="C960" s="13" t="s">
        <v>91</v>
      </c>
      <c r="D960" s="13" t="s">
        <v>697</v>
      </c>
      <c r="E960" s="13" t="s">
        <v>93</v>
      </c>
      <c r="F960" s="13" t="s">
        <v>1302</v>
      </c>
      <c r="G960" s="20" t="str">
        <f>HYPERLINK("http://semena-nn.ru/catalog/33/1124047","Фото")</f>
        <v>Фото</v>
      </c>
      <c r="H960" s="19">
        <v>39.950000000000003</v>
      </c>
      <c r="I960" s="27"/>
      <c r="J960" s="13">
        <f>H960*I960</f>
        <v>0</v>
      </c>
    </row>
    <row r="961" spans="1:10" ht="12" customHeight="1">
      <c r="A961" s="13" t="s">
        <v>7973</v>
      </c>
      <c r="B961" s="13" t="s">
        <v>7974</v>
      </c>
      <c r="C961" s="13" t="s">
        <v>91</v>
      </c>
      <c r="D961" s="13" t="s">
        <v>7728</v>
      </c>
      <c r="E961" s="13" t="s">
        <v>93</v>
      </c>
      <c r="F961" s="13" t="s">
        <v>7975</v>
      </c>
      <c r="G961" s="20" t="str">
        <f>HYPERLINK("http://semena-nn.ru/catalog/33/999000002378","Фото")</f>
        <v>Фото</v>
      </c>
      <c r="H961" s="18">
        <v>36.5</v>
      </c>
      <c r="I961" s="27"/>
      <c r="J961" s="13">
        <f>H961*I961</f>
        <v>0</v>
      </c>
    </row>
    <row r="962" spans="1:10" ht="12" customHeight="1">
      <c r="A962" s="13" t="s">
        <v>3905</v>
      </c>
      <c r="B962" s="13" t="s">
        <v>3906</v>
      </c>
      <c r="C962" s="13" t="s">
        <v>91</v>
      </c>
      <c r="D962" s="13" t="s">
        <v>3475</v>
      </c>
      <c r="E962" s="13" t="s">
        <v>93</v>
      </c>
      <c r="F962" s="13" t="s">
        <v>3907</v>
      </c>
      <c r="G962" s="20" t="str">
        <f>HYPERLINK("http://semena-nn.ru/catalog/33/1119648","Фото")</f>
        <v>Фото</v>
      </c>
      <c r="H962" s="19">
        <v>88.99</v>
      </c>
      <c r="I962" s="27"/>
      <c r="J962" s="13">
        <f>H962*I962</f>
        <v>0</v>
      </c>
    </row>
    <row r="963" spans="1:10" ht="12" customHeight="1">
      <c r="A963" s="13" t="s">
        <v>8845</v>
      </c>
      <c r="B963" s="13" t="s">
        <v>8846</v>
      </c>
      <c r="C963" s="13" t="s">
        <v>91</v>
      </c>
      <c r="D963" s="13" t="s">
        <v>8717</v>
      </c>
      <c r="E963" s="13" t="s">
        <v>93</v>
      </c>
      <c r="F963" s="13" t="s">
        <v>8847</v>
      </c>
      <c r="G963" s="20" t="str">
        <f>HYPERLINK("https://semena-nn.ru/catalog/33/1312513","Фото")</f>
        <v>Фото</v>
      </c>
      <c r="H963" s="19">
        <v>27.25</v>
      </c>
      <c r="I963" s="27"/>
      <c r="J963" s="13">
        <f>H963*I963</f>
        <v>0</v>
      </c>
    </row>
    <row r="964" spans="1:10" ht="12" customHeight="1">
      <c r="A964" s="13" t="s">
        <v>6504</v>
      </c>
      <c r="B964" s="13" t="s">
        <v>6505</v>
      </c>
      <c r="C964" s="13" t="s">
        <v>91</v>
      </c>
      <c r="D964" s="13" t="s">
        <v>87</v>
      </c>
      <c r="E964" s="13" t="s">
        <v>93</v>
      </c>
      <c r="F964" s="13" t="s">
        <v>6506</v>
      </c>
      <c r="G964" s="20" t="str">
        <f>HYPERLINK("https://semena-nn.ru/catalog/33/1311092","Фото")</f>
        <v>Фото</v>
      </c>
      <c r="H964" s="19">
        <v>23.65</v>
      </c>
      <c r="I964" s="27"/>
      <c r="J964" s="13">
        <f>H964*I964</f>
        <v>0</v>
      </c>
    </row>
    <row r="965" spans="1:10" ht="12" customHeight="1">
      <c r="A965" s="13" t="s">
        <v>1303</v>
      </c>
      <c r="B965" s="13" t="s">
        <v>1304</v>
      </c>
      <c r="C965" s="13" t="s">
        <v>91</v>
      </c>
      <c r="D965" s="13" t="s">
        <v>697</v>
      </c>
      <c r="E965" s="13" t="s">
        <v>93</v>
      </c>
      <c r="F965" s="13" t="s">
        <v>1305</v>
      </c>
      <c r="G965" s="20" t="str">
        <f>HYPERLINK("https://semena-nn.ru/catalog/33/888000007808","Фото")</f>
        <v>Фото</v>
      </c>
      <c r="H965" s="18">
        <v>29.9</v>
      </c>
      <c r="I965" s="27"/>
      <c r="J965" s="13">
        <f>H965*I965</f>
        <v>0</v>
      </c>
    </row>
    <row r="966" spans="1:10" ht="12" customHeight="1">
      <c r="A966" s="13" t="s">
        <v>3908</v>
      </c>
      <c r="B966" s="13" t="s">
        <v>3909</v>
      </c>
      <c r="C966" s="13" t="s">
        <v>91</v>
      </c>
      <c r="D966" s="13" t="s">
        <v>3475</v>
      </c>
      <c r="E966" s="13" t="s">
        <v>93</v>
      </c>
      <c r="F966" s="13" t="s">
        <v>3910</v>
      </c>
      <c r="G966" s="20" t="str">
        <f>HYPERLINK("http://semena-nn.ru/catalog/33/1306499","Фото")</f>
        <v>Фото</v>
      </c>
      <c r="H966" s="18">
        <v>87.7</v>
      </c>
      <c r="I966" s="27"/>
      <c r="J966" s="13">
        <f>H966*I966</f>
        <v>0</v>
      </c>
    </row>
    <row r="967" spans="1:10" ht="12" customHeight="1">
      <c r="A967" s="13" t="s">
        <v>6218</v>
      </c>
      <c r="B967" s="13" t="s">
        <v>6219</v>
      </c>
      <c r="C967" s="13" t="s">
        <v>91</v>
      </c>
      <c r="D967" s="13" t="s">
        <v>6021</v>
      </c>
      <c r="E967" s="13" t="s">
        <v>93</v>
      </c>
      <c r="F967" s="13" t="s">
        <v>6220</v>
      </c>
      <c r="G967" s="20" t="str">
        <f>HYPERLINK("https://semena-nn.ru/catalog/33/888000000329","Фото")</f>
        <v>Фото</v>
      </c>
      <c r="H967" s="18">
        <v>44.7</v>
      </c>
      <c r="I967" s="27"/>
      <c r="J967" s="13">
        <f>H967*I967</f>
        <v>0</v>
      </c>
    </row>
    <row r="968" spans="1:10" ht="12" customHeight="1">
      <c r="A968" s="13" t="s">
        <v>1306</v>
      </c>
      <c r="B968" s="13" t="s">
        <v>1307</v>
      </c>
      <c r="C968" s="13" t="s">
        <v>91</v>
      </c>
      <c r="D968" s="13" t="s">
        <v>697</v>
      </c>
      <c r="E968" s="13" t="s">
        <v>93</v>
      </c>
      <c r="F968" s="13" t="s">
        <v>1308</v>
      </c>
      <c r="G968" s="20" t="str">
        <f>HYPERLINK("http://semena-nn.ru/admin/catalog/999000004129","Фото")</f>
        <v>Фото</v>
      </c>
      <c r="H968" s="19">
        <v>29.75</v>
      </c>
      <c r="I968" s="27"/>
      <c r="J968" s="13">
        <f>H968*I968</f>
        <v>0</v>
      </c>
    </row>
    <row r="969" spans="1:10" ht="12" customHeight="1">
      <c r="A969" s="13" t="s">
        <v>7281</v>
      </c>
      <c r="B969" s="13" t="s">
        <v>7282</v>
      </c>
      <c r="C969" s="13" t="s">
        <v>91</v>
      </c>
      <c r="D969" s="13" t="s">
        <v>7148</v>
      </c>
      <c r="E969" s="13" t="s">
        <v>93</v>
      </c>
      <c r="F969" s="13" t="s">
        <v>7283</v>
      </c>
      <c r="G969" s="20" t="str">
        <f>HYPERLINK("https://semena-nn.ru/catalog/33/888000001640","Фото")</f>
        <v>Фото</v>
      </c>
      <c r="H969" s="18">
        <v>75.599999999999994</v>
      </c>
      <c r="I969" s="27"/>
      <c r="J969" s="13">
        <f>H969*I969</f>
        <v>0</v>
      </c>
    </row>
    <row r="970" spans="1:10" ht="12" customHeight="1">
      <c r="A970" s="13" t="s">
        <v>307</v>
      </c>
      <c r="B970" s="13" t="s">
        <v>308</v>
      </c>
      <c r="C970" s="13" t="s">
        <v>91</v>
      </c>
      <c r="D970" s="13" t="s">
        <v>28</v>
      </c>
      <c r="E970" s="13" t="s">
        <v>93</v>
      </c>
      <c r="F970" s="13" t="s">
        <v>309</v>
      </c>
      <c r="G970" s="20" t="str">
        <f>HYPERLINK("https://semena-nn.ru/catalog/33/999000010618","Фото")</f>
        <v>Фото</v>
      </c>
      <c r="H970" s="19">
        <v>116.45</v>
      </c>
      <c r="I970" s="27"/>
      <c r="J970" s="13">
        <f>H970*I970</f>
        <v>0</v>
      </c>
    </row>
    <row r="971" spans="1:10" ht="12" customHeight="1">
      <c r="A971" s="13" t="s">
        <v>5255</v>
      </c>
      <c r="B971" s="13" t="s">
        <v>5256</v>
      </c>
      <c r="C971" s="13" t="s">
        <v>91</v>
      </c>
      <c r="D971" s="13" t="s">
        <v>5136</v>
      </c>
      <c r="E971" s="13" t="s">
        <v>93</v>
      </c>
      <c r="F971" s="13" t="s">
        <v>5257</v>
      </c>
      <c r="G971" s="20" t="str">
        <f>HYPERLINK("https://semena-nn.ru/catalog/33/1313261","Фото")</f>
        <v>Фото</v>
      </c>
      <c r="H971" s="15">
        <v>72</v>
      </c>
      <c r="I971" s="27"/>
      <c r="J971" s="13">
        <f>H971*I971</f>
        <v>0</v>
      </c>
    </row>
    <row r="972" spans="1:10" ht="12" customHeight="1">
      <c r="A972" s="13" t="s">
        <v>1309</v>
      </c>
      <c r="B972" s="13" t="s">
        <v>1310</v>
      </c>
      <c r="C972" s="13" t="s">
        <v>696</v>
      </c>
      <c r="D972" s="13" t="s">
        <v>697</v>
      </c>
      <c r="E972" s="13" t="s">
        <v>93</v>
      </c>
      <c r="F972" s="13" t="s">
        <v>1311</v>
      </c>
      <c r="G972" s="20" t="str">
        <f>HYPERLINK("http://semena-nn.ru/catalog/38/1312160","Фото")</f>
        <v>Фото</v>
      </c>
      <c r="H972" s="18">
        <v>17.8</v>
      </c>
      <c r="I972" s="27"/>
      <c r="J972" s="13">
        <f>H972*I972</f>
        <v>0</v>
      </c>
    </row>
    <row r="973" spans="1:10" ht="12" customHeight="1">
      <c r="A973" s="13" t="s">
        <v>1312</v>
      </c>
      <c r="B973" s="13" t="s">
        <v>1313</v>
      </c>
      <c r="C973" s="13" t="s">
        <v>406</v>
      </c>
      <c r="D973" s="13" t="s">
        <v>697</v>
      </c>
      <c r="E973" s="13" t="s">
        <v>93</v>
      </c>
      <c r="F973" s="13" t="s">
        <v>1314</v>
      </c>
      <c r="G973" s="20" t="str">
        <f>HYPERLINK("https://semena-nn.ru/catalog/38/999000012838","Фото")</f>
        <v>Фото</v>
      </c>
      <c r="H973" s="18">
        <v>17.8</v>
      </c>
      <c r="I973" s="27"/>
      <c r="J973" s="13">
        <f>H973*I973</f>
        <v>0</v>
      </c>
    </row>
    <row r="974" spans="1:10" ht="12" customHeight="1">
      <c r="A974" s="13" t="s">
        <v>1315</v>
      </c>
      <c r="B974" s="13" t="s">
        <v>1316</v>
      </c>
      <c r="C974" s="13" t="s">
        <v>406</v>
      </c>
      <c r="D974" s="13" t="s">
        <v>697</v>
      </c>
      <c r="E974" s="13" t="s">
        <v>93</v>
      </c>
      <c r="F974" s="13" t="s">
        <v>1317</v>
      </c>
      <c r="G974" s="20" t="str">
        <f>HYPERLINK("https://semena-nn.ru/catalog/38/999000008070","Фото")</f>
        <v>Фото</v>
      </c>
      <c r="H974" s="18">
        <v>17.8</v>
      </c>
      <c r="I974" s="27"/>
      <c r="J974" s="13">
        <f>H974*I974</f>
        <v>0</v>
      </c>
    </row>
    <row r="975" spans="1:10" ht="12" customHeight="1">
      <c r="A975" s="13" t="s">
        <v>7976</v>
      </c>
      <c r="B975" s="13" t="s">
        <v>7977</v>
      </c>
      <c r="C975" s="13" t="s">
        <v>312</v>
      </c>
      <c r="D975" s="13" t="s">
        <v>7728</v>
      </c>
      <c r="E975" s="13" t="s">
        <v>93</v>
      </c>
      <c r="F975" s="13" t="s">
        <v>7978</v>
      </c>
      <c r="G975" s="20" t="str">
        <f>HYPERLINK("http://semena-nn.ru/catalog/34/1307934","Фото")</f>
        <v>Фото</v>
      </c>
      <c r="H975" s="18">
        <v>27.2</v>
      </c>
      <c r="I975" s="27"/>
      <c r="J975" s="13">
        <f>H975*I975</f>
        <v>0</v>
      </c>
    </row>
    <row r="976" spans="1:10" ht="12" customHeight="1">
      <c r="A976" s="13" t="s">
        <v>7979</v>
      </c>
      <c r="B976" s="13" t="s">
        <v>7980</v>
      </c>
      <c r="C976" s="13" t="s">
        <v>312</v>
      </c>
      <c r="D976" s="13" t="s">
        <v>7728</v>
      </c>
      <c r="E976" s="13" t="s">
        <v>93</v>
      </c>
      <c r="F976" s="13" t="s">
        <v>7981</v>
      </c>
      <c r="G976" s="20" t="str">
        <f>HYPERLINK("http://semena-nn.ru/catalog/2/34/big_101964.jpg","Фото")</f>
        <v>Фото</v>
      </c>
      <c r="H976" s="18">
        <v>24.6</v>
      </c>
      <c r="I976" s="27"/>
      <c r="J976" s="13">
        <f>H976*I976</f>
        <v>0</v>
      </c>
    </row>
    <row r="977" spans="1:10" ht="12" customHeight="1">
      <c r="A977" s="13" t="s">
        <v>1318</v>
      </c>
      <c r="B977" s="13" t="s">
        <v>1319</v>
      </c>
      <c r="C977" s="13" t="s">
        <v>312</v>
      </c>
      <c r="D977" s="13" t="s">
        <v>697</v>
      </c>
      <c r="E977" s="13" t="s">
        <v>93</v>
      </c>
      <c r="F977" s="13" t="s">
        <v>1320</v>
      </c>
      <c r="G977" s="20" t="str">
        <f>HYPERLINK("https://semena-nn.ru/catalog/34/999000006268","Фото")</f>
        <v>Фото</v>
      </c>
      <c r="H977" s="19">
        <v>25.95</v>
      </c>
      <c r="I977" s="27"/>
      <c r="J977" s="13">
        <f>H977*I977</f>
        <v>0</v>
      </c>
    </row>
    <row r="978" spans="1:10" ht="12" customHeight="1">
      <c r="A978" s="13" t="s">
        <v>7002</v>
      </c>
      <c r="B978" s="13" t="s">
        <v>7003</v>
      </c>
      <c r="C978" s="13" t="s">
        <v>312</v>
      </c>
      <c r="D978" s="13" t="s">
        <v>6927</v>
      </c>
      <c r="E978" s="13" t="s">
        <v>93</v>
      </c>
      <c r="F978" s="17" t="s">
        <v>7004</v>
      </c>
      <c r="G978" s="20" t="str">
        <f>HYPERLINK("http://semena-nn.ru/catalog/34/1311569","Фото")</f>
        <v>Фото</v>
      </c>
      <c r="H978" s="19">
        <v>31.95</v>
      </c>
      <c r="I978" s="27"/>
      <c r="J978" s="13">
        <f>H978*I978</f>
        <v>0</v>
      </c>
    </row>
    <row r="979" spans="1:10" ht="12" customHeight="1">
      <c r="A979" s="13" t="s">
        <v>3911</v>
      </c>
      <c r="B979" s="13" t="s">
        <v>3912</v>
      </c>
      <c r="C979" s="13" t="s">
        <v>312</v>
      </c>
      <c r="D979" s="13" t="s">
        <v>3475</v>
      </c>
      <c r="E979" s="13" t="s">
        <v>93</v>
      </c>
      <c r="F979" s="13" t="s">
        <v>3913</v>
      </c>
      <c r="G979" s="20" t="str">
        <f>HYPERLINK("http://semena-nn.ru/catalog/34/1126693","Фото")</f>
        <v>Фото</v>
      </c>
      <c r="H979" s="18">
        <v>19.8</v>
      </c>
      <c r="I979" s="27"/>
      <c r="J979" s="13">
        <f>H979*I979</f>
        <v>0</v>
      </c>
    </row>
    <row r="980" spans="1:10" ht="12" customHeight="1">
      <c r="A980" s="13" t="s">
        <v>310</v>
      </c>
      <c r="B980" s="13" t="s">
        <v>311</v>
      </c>
      <c r="C980" s="13" t="s">
        <v>312</v>
      </c>
      <c r="D980" s="13" t="s">
        <v>28</v>
      </c>
      <c r="E980" s="13" t="s">
        <v>93</v>
      </c>
      <c r="F980" s="13" t="s">
        <v>313</v>
      </c>
      <c r="G980" s="20" t="str">
        <f>HYPERLINK("https://semena-nn.ru/catalog/34/999000009708","Фото")</f>
        <v>Фото</v>
      </c>
      <c r="H980" s="19">
        <v>21.63</v>
      </c>
      <c r="I980" s="27"/>
      <c r="J980" s="13">
        <f>H980*I980</f>
        <v>0</v>
      </c>
    </row>
    <row r="981" spans="1:10" ht="12" customHeight="1">
      <c r="A981" s="13" t="s">
        <v>3914</v>
      </c>
      <c r="B981" s="13" t="s">
        <v>3915</v>
      </c>
      <c r="C981" s="13" t="s">
        <v>312</v>
      </c>
      <c r="D981" s="13" t="s">
        <v>3475</v>
      </c>
      <c r="E981" s="13" t="s">
        <v>93</v>
      </c>
      <c r="F981" s="13" t="s">
        <v>3916</v>
      </c>
      <c r="G981" s="20" t="str">
        <f>HYPERLINK("https://semena-nn.ru/catalog/34/1118552","Фото")</f>
        <v>Фото</v>
      </c>
      <c r="H981" s="18">
        <v>30.6</v>
      </c>
      <c r="I981" s="27"/>
      <c r="J981" s="13">
        <f>H981*I981</f>
        <v>0</v>
      </c>
    </row>
    <row r="982" spans="1:10" ht="12" customHeight="1">
      <c r="A982" s="13" t="s">
        <v>3917</v>
      </c>
      <c r="B982" s="13" t="s">
        <v>3918</v>
      </c>
      <c r="C982" s="13" t="s">
        <v>312</v>
      </c>
      <c r="D982" s="13" t="s">
        <v>3475</v>
      </c>
      <c r="E982" s="13" t="s">
        <v>93</v>
      </c>
      <c r="F982" s="13" t="s">
        <v>3919</v>
      </c>
      <c r="G982" s="20" t="str">
        <f>HYPERLINK("https://semena-nn.ru/catalog/34/999000010250","Фото")</f>
        <v>Фото</v>
      </c>
      <c r="H982" s="18">
        <v>23.5</v>
      </c>
      <c r="I982" s="27"/>
      <c r="J982" s="13">
        <f>H982*I982</f>
        <v>0</v>
      </c>
    </row>
    <row r="983" spans="1:10" ht="12" customHeight="1">
      <c r="A983" s="13" t="s">
        <v>2850</v>
      </c>
      <c r="B983" s="13" t="s">
        <v>2851</v>
      </c>
      <c r="C983" s="13" t="s">
        <v>312</v>
      </c>
      <c r="D983" s="13" t="s">
        <v>697</v>
      </c>
      <c r="E983" s="13" t="s">
        <v>2636</v>
      </c>
      <c r="F983" s="13" t="s">
        <v>2852</v>
      </c>
      <c r="G983" s="20" t="str">
        <f>HYPERLINK("http://semena-nn.ru/catalog/34/3046","Фото")</f>
        <v>Фото</v>
      </c>
      <c r="H983" s="18">
        <v>8.4</v>
      </c>
      <c r="I983" s="27"/>
      <c r="J983" s="13">
        <f>H983*I983</f>
        <v>0</v>
      </c>
    </row>
    <row r="984" spans="1:10" ht="12" customHeight="1">
      <c r="A984" s="13" t="s">
        <v>3920</v>
      </c>
      <c r="B984" s="13" t="s">
        <v>3921</v>
      </c>
      <c r="C984" s="13" t="s">
        <v>312</v>
      </c>
      <c r="D984" s="13" t="s">
        <v>3475</v>
      </c>
      <c r="E984" s="13" t="s">
        <v>93</v>
      </c>
      <c r="F984" s="13" t="s">
        <v>3922</v>
      </c>
      <c r="G984" s="20" t="str">
        <f>HYPERLINK("http://semena-nn.ru/catalog/34/999000006774","Фото")</f>
        <v>Фото</v>
      </c>
      <c r="H984" s="18">
        <v>37.6</v>
      </c>
      <c r="I984" s="27"/>
      <c r="J984" s="13">
        <f>H984*I984</f>
        <v>0</v>
      </c>
    </row>
    <row r="985" spans="1:10" ht="12" customHeight="1">
      <c r="A985" s="13" t="s">
        <v>7982</v>
      </c>
      <c r="B985" s="13" t="s">
        <v>7983</v>
      </c>
      <c r="C985" s="13" t="s">
        <v>312</v>
      </c>
      <c r="D985" s="13" t="s">
        <v>7728</v>
      </c>
      <c r="E985" s="13" t="s">
        <v>93</v>
      </c>
      <c r="F985" s="13" t="s">
        <v>7984</v>
      </c>
      <c r="G985" s="20" t="str">
        <f>HYPERLINK("http://semena-nn.ru/catalog/34/1291353","Фото")</f>
        <v>Фото</v>
      </c>
      <c r="H985" s="18">
        <v>22.7</v>
      </c>
      <c r="I985" s="27"/>
      <c r="J985" s="13">
        <f>H985*I985</f>
        <v>0</v>
      </c>
    </row>
    <row r="986" spans="1:10" ht="12" customHeight="1">
      <c r="A986" s="13" t="s">
        <v>3923</v>
      </c>
      <c r="B986" s="13" t="s">
        <v>3924</v>
      </c>
      <c r="C986" s="13" t="s">
        <v>312</v>
      </c>
      <c r="D986" s="13" t="s">
        <v>3475</v>
      </c>
      <c r="E986" s="13" t="s">
        <v>93</v>
      </c>
      <c r="F986" s="13" t="s">
        <v>3925</v>
      </c>
      <c r="G986" s="20" t="str">
        <f>HYPERLINK("https://semena-nn.ru/catalog/34/1285421","Фото")</f>
        <v>Фото</v>
      </c>
      <c r="H986" s="18">
        <v>19.8</v>
      </c>
      <c r="I986" s="27"/>
      <c r="J986" s="13">
        <f>H986*I986</f>
        <v>0</v>
      </c>
    </row>
    <row r="987" spans="1:10" ht="12" customHeight="1">
      <c r="A987" s="13" t="s">
        <v>1321</v>
      </c>
      <c r="B987" s="13" t="s">
        <v>1322</v>
      </c>
      <c r="C987" s="13" t="s">
        <v>312</v>
      </c>
      <c r="D987" s="13" t="s">
        <v>697</v>
      </c>
      <c r="E987" s="13" t="s">
        <v>93</v>
      </c>
      <c r="F987" s="13" t="s">
        <v>1323</v>
      </c>
      <c r="G987" s="20" t="str">
        <f>HYPERLINK("http://semena-nn.ru/catalog/2/34/big_1290930.jpg","Фото")</f>
        <v>Фото</v>
      </c>
      <c r="H987" s="18">
        <v>17.8</v>
      </c>
      <c r="I987" s="27"/>
      <c r="J987" s="13">
        <f>H987*I987</f>
        <v>0</v>
      </c>
    </row>
    <row r="988" spans="1:10" ht="12" customHeight="1">
      <c r="A988" s="13" t="s">
        <v>2853</v>
      </c>
      <c r="B988" s="13" t="s">
        <v>2854</v>
      </c>
      <c r="C988" s="13" t="s">
        <v>312</v>
      </c>
      <c r="D988" s="13" t="s">
        <v>697</v>
      </c>
      <c r="E988" s="13" t="s">
        <v>2636</v>
      </c>
      <c r="F988" s="13" t="s">
        <v>2855</v>
      </c>
      <c r="G988" s="20" t="str">
        <f>HYPERLINK("https://semena-nn.ru/catalog/34/999000007748","Фото")</f>
        <v>Фото</v>
      </c>
      <c r="H988" s="19">
        <v>8.35</v>
      </c>
      <c r="I988" s="27"/>
      <c r="J988" s="13">
        <f>H988*I988</f>
        <v>0</v>
      </c>
    </row>
    <row r="989" spans="1:10" ht="12" customHeight="1">
      <c r="A989" s="13" t="s">
        <v>7284</v>
      </c>
      <c r="B989" s="13" t="s">
        <v>7285</v>
      </c>
      <c r="C989" s="13" t="s">
        <v>208</v>
      </c>
      <c r="D989" s="13" t="s">
        <v>7148</v>
      </c>
      <c r="E989" s="13" t="s">
        <v>93</v>
      </c>
      <c r="F989" s="13"/>
      <c r="G989" s="13"/>
      <c r="H989" s="18">
        <v>99.6</v>
      </c>
      <c r="I989" s="27"/>
      <c r="J989" s="13">
        <f>H989*I989</f>
        <v>0</v>
      </c>
    </row>
    <row r="990" spans="1:10" ht="12" customHeight="1">
      <c r="A990" s="13" t="s">
        <v>2856</v>
      </c>
      <c r="B990" s="13" t="s">
        <v>2857</v>
      </c>
      <c r="C990" s="13" t="s">
        <v>130</v>
      </c>
      <c r="D990" s="13" t="s">
        <v>697</v>
      </c>
      <c r="E990" s="13" t="s">
        <v>2636</v>
      </c>
      <c r="F990" s="13" t="s">
        <v>2858</v>
      </c>
      <c r="G990" s="20" t="str">
        <f>HYPERLINK("http://semena-nn.ru/catalog/35/3158","Фото")</f>
        <v>Фото</v>
      </c>
      <c r="H990" s="19">
        <v>7.95</v>
      </c>
      <c r="I990" s="27"/>
      <c r="J990" s="13">
        <f>H990*I990</f>
        <v>0</v>
      </c>
    </row>
    <row r="991" spans="1:10" ht="12" customHeight="1">
      <c r="A991" s="13" t="s">
        <v>7985</v>
      </c>
      <c r="B991" s="13" t="s">
        <v>7986</v>
      </c>
      <c r="C991" s="13" t="s">
        <v>130</v>
      </c>
      <c r="D991" s="13" t="s">
        <v>7728</v>
      </c>
      <c r="E991" s="13" t="s">
        <v>93</v>
      </c>
      <c r="F991" s="13" t="s">
        <v>7987</v>
      </c>
      <c r="G991" s="20" t="str">
        <f>HYPERLINK("http://semena-nn.ru/catalog/35/1309733","Фото")</f>
        <v>Фото</v>
      </c>
      <c r="H991" s="19">
        <v>101.35</v>
      </c>
      <c r="I991" s="27"/>
      <c r="J991" s="13">
        <f>H991*I991</f>
        <v>0</v>
      </c>
    </row>
    <row r="992" spans="1:10" ht="12" customHeight="1">
      <c r="A992" s="13" t="s">
        <v>7988</v>
      </c>
      <c r="B992" s="13" t="s">
        <v>7989</v>
      </c>
      <c r="C992" s="13" t="s">
        <v>130</v>
      </c>
      <c r="D992" s="13" t="s">
        <v>7728</v>
      </c>
      <c r="E992" s="13" t="s">
        <v>93</v>
      </c>
      <c r="F992" s="13" t="s">
        <v>7990</v>
      </c>
      <c r="G992" s="20" t="str">
        <f>HYPERLINK("http://semena-nn.ru/catalog/35/1309734","Фото")</f>
        <v>Фото</v>
      </c>
      <c r="H992" s="19">
        <v>101.35</v>
      </c>
      <c r="I992" s="27"/>
      <c r="J992" s="13">
        <f>H992*I992</f>
        <v>0</v>
      </c>
    </row>
    <row r="993" spans="1:10" ht="12" customHeight="1">
      <c r="A993" s="13" t="s">
        <v>7991</v>
      </c>
      <c r="B993" s="13" t="s">
        <v>7992</v>
      </c>
      <c r="C993" s="13" t="s">
        <v>130</v>
      </c>
      <c r="D993" s="13" t="s">
        <v>7728</v>
      </c>
      <c r="E993" s="13" t="s">
        <v>93</v>
      </c>
      <c r="F993" s="13" t="s">
        <v>7993</v>
      </c>
      <c r="G993" s="20" t="str">
        <f>HYPERLINK("http://semena-nn.ru/catalog/2/35/big_1309735.jpg","Фото")</f>
        <v>Фото</v>
      </c>
      <c r="H993" s="19">
        <v>101.35</v>
      </c>
      <c r="I993" s="27"/>
      <c r="J993" s="13">
        <f>H993*I993</f>
        <v>0</v>
      </c>
    </row>
    <row r="994" spans="1:10" ht="12" customHeight="1">
      <c r="A994" s="13" t="s">
        <v>7994</v>
      </c>
      <c r="B994" s="13" t="s">
        <v>7995</v>
      </c>
      <c r="C994" s="13" t="s">
        <v>130</v>
      </c>
      <c r="D994" s="13" t="s">
        <v>7728</v>
      </c>
      <c r="E994" s="13" t="s">
        <v>93</v>
      </c>
      <c r="F994" s="13" t="s">
        <v>7996</v>
      </c>
      <c r="G994" s="20" t="str">
        <f>HYPERLINK("http://semena-nn.ru/catalog/35/1312855","Фото")</f>
        <v>Фото</v>
      </c>
      <c r="H994" s="18">
        <v>87.9</v>
      </c>
      <c r="I994" s="27"/>
      <c r="J994" s="13">
        <f>H994*I994</f>
        <v>0</v>
      </c>
    </row>
    <row r="995" spans="1:10" ht="12" customHeight="1">
      <c r="A995" s="13" t="s">
        <v>128</v>
      </c>
      <c r="B995" s="13" t="s">
        <v>129</v>
      </c>
      <c r="C995" s="13" t="s">
        <v>130</v>
      </c>
      <c r="D995" s="13" t="s">
        <v>92</v>
      </c>
      <c r="E995" s="13" t="s">
        <v>93</v>
      </c>
      <c r="F995" s="13" t="s">
        <v>131</v>
      </c>
      <c r="G995" s="20" t="str">
        <f>HYPERLINK("https://semena-nn.ru/catalog/35/1307272","Фото")</f>
        <v>Фото</v>
      </c>
      <c r="H995" s="19">
        <v>47.78</v>
      </c>
      <c r="I995" s="27"/>
      <c r="J995" s="13">
        <f>H995*I995</f>
        <v>0</v>
      </c>
    </row>
    <row r="996" spans="1:10" ht="12" customHeight="1">
      <c r="A996" s="13" t="s">
        <v>7997</v>
      </c>
      <c r="B996" s="13" t="s">
        <v>7998</v>
      </c>
      <c r="C996" s="13" t="s">
        <v>130</v>
      </c>
      <c r="D996" s="13" t="s">
        <v>7728</v>
      </c>
      <c r="E996" s="13" t="s">
        <v>93</v>
      </c>
      <c r="F996" s="13" t="s">
        <v>7999</v>
      </c>
      <c r="G996" s="20" t="str">
        <f>HYPERLINK("https://semena-nn.ru/catalog/35/999000011469","Фото")</f>
        <v>Фото</v>
      </c>
      <c r="H996" s="19">
        <v>21.65</v>
      </c>
      <c r="I996" s="27"/>
      <c r="J996" s="13">
        <f>H996*I996</f>
        <v>0</v>
      </c>
    </row>
    <row r="997" spans="1:10" ht="12" customHeight="1">
      <c r="A997" s="13" t="s">
        <v>8355</v>
      </c>
      <c r="B997" s="13" t="s">
        <v>8356</v>
      </c>
      <c r="C997" s="13" t="s">
        <v>130</v>
      </c>
      <c r="D997" s="13" t="s">
        <v>8317</v>
      </c>
      <c r="E997" s="13" t="s">
        <v>93</v>
      </c>
      <c r="F997" s="13" t="s">
        <v>8357</v>
      </c>
      <c r="G997" s="20" t="str">
        <f>HYPERLINK("https://semena-nn.ru/catalog/35/92544","Фото")</f>
        <v>Фото</v>
      </c>
      <c r="H997" s="19">
        <v>66.150000000000006</v>
      </c>
      <c r="I997" s="27"/>
      <c r="J997" s="13">
        <f>H997*I997</f>
        <v>0</v>
      </c>
    </row>
    <row r="998" spans="1:10" ht="12" customHeight="1">
      <c r="A998" s="13" t="s">
        <v>8000</v>
      </c>
      <c r="B998" s="13" t="s">
        <v>8001</v>
      </c>
      <c r="C998" s="13" t="s">
        <v>130</v>
      </c>
      <c r="D998" s="13" t="s">
        <v>7728</v>
      </c>
      <c r="E998" s="13" t="s">
        <v>93</v>
      </c>
      <c r="F998" s="13" t="s">
        <v>8002</v>
      </c>
      <c r="G998" s="20" t="str">
        <f>HYPERLINK("http://semena-nn.ru/catalog/35/1298343","Фото")</f>
        <v>Фото</v>
      </c>
      <c r="H998" s="19">
        <v>27.95</v>
      </c>
      <c r="I998" s="27"/>
      <c r="J998" s="13">
        <f>H998*I998</f>
        <v>0</v>
      </c>
    </row>
    <row r="999" spans="1:10" ht="12" customHeight="1">
      <c r="A999" s="13" t="s">
        <v>314</v>
      </c>
      <c r="B999" s="13" t="s">
        <v>315</v>
      </c>
      <c r="C999" s="13" t="s">
        <v>130</v>
      </c>
      <c r="D999" s="13" t="s">
        <v>28</v>
      </c>
      <c r="E999" s="13" t="s">
        <v>93</v>
      </c>
      <c r="F999" s="13" t="s">
        <v>316</v>
      </c>
      <c r="G999" s="20" t="str">
        <f>HYPERLINK("https://semena-nn.ru/catalog/35/888000000108","Фото")</f>
        <v>Фото</v>
      </c>
      <c r="H999" s="19">
        <v>36.65</v>
      </c>
      <c r="I999" s="27"/>
      <c r="J999" s="13">
        <f>H999*I999</f>
        <v>0</v>
      </c>
    </row>
    <row r="1000" spans="1:10" ht="12" customHeight="1">
      <c r="A1000" s="13" t="s">
        <v>8003</v>
      </c>
      <c r="B1000" s="13" t="s">
        <v>8004</v>
      </c>
      <c r="C1000" s="13" t="s">
        <v>130</v>
      </c>
      <c r="D1000" s="13" t="s">
        <v>7728</v>
      </c>
      <c r="E1000" s="13" t="s">
        <v>93</v>
      </c>
      <c r="F1000" s="13" t="s">
        <v>8005</v>
      </c>
      <c r="G1000" s="20" t="str">
        <f>HYPERLINK("https://semena-nn.ru/catalog/35/112026","Фото")</f>
        <v>Фото</v>
      </c>
      <c r="H1000" s="19">
        <v>22.05</v>
      </c>
      <c r="I1000" s="27"/>
      <c r="J1000" s="13">
        <f>H1000*I1000</f>
        <v>0</v>
      </c>
    </row>
    <row r="1001" spans="1:10" ht="12" customHeight="1">
      <c r="A1001" s="13" t="s">
        <v>5893</v>
      </c>
      <c r="B1001" s="13" t="s">
        <v>5894</v>
      </c>
      <c r="C1001" s="13" t="s">
        <v>130</v>
      </c>
      <c r="D1001" s="13" t="s">
        <v>5834</v>
      </c>
      <c r="E1001" s="13" t="s">
        <v>93</v>
      </c>
      <c r="F1001" s="13" t="s">
        <v>5895</v>
      </c>
      <c r="G1001" s="20" t="str">
        <f>HYPERLINK("http://semena-nn.ru/catalog/35/964","Фото")</f>
        <v>Фото</v>
      </c>
      <c r="H1001" s="18">
        <v>41.9</v>
      </c>
      <c r="I1001" s="27"/>
      <c r="J1001" s="13">
        <f>H1001*I1001</f>
        <v>0</v>
      </c>
    </row>
    <row r="1002" spans="1:10" ht="12" customHeight="1">
      <c r="A1002" s="13" t="s">
        <v>132</v>
      </c>
      <c r="B1002" s="13" t="s">
        <v>133</v>
      </c>
      <c r="C1002" s="13" t="s">
        <v>130</v>
      </c>
      <c r="D1002" s="13" t="s">
        <v>92</v>
      </c>
      <c r="E1002" s="13" t="s">
        <v>93</v>
      </c>
      <c r="F1002" s="13" t="s">
        <v>134</v>
      </c>
      <c r="G1002" s="20" t="str">
        <f>HYPERLINK("https://semena-nn.ru/catalog/35/888000000216","Фото")</f>
        <v>Фото</v>
      </c>
      <c r="H1002" s="19">
        <v>40.950000000000003</v>
      </c>
      <c r="I1002" s="27"/>
      <c r="J1002" s="13">
        <f>H1002*I1002</f>
        <v>0</v>
      </c>
    </row>
    <row r="1003" spans="1:10" ht="12" customHeight="1">
      <c r="A1003" s="13" t="s">
        <v>5896</v>
      </c>
      <c r="B1003" s="13" t="s">
        <v>5897</v>
      </c>
      <c r="C1003" s="13" t="s">
        <v>130</v>
      </c>
      <c r="D1003" s="13" t="s">
        <v>5834</v>
      </c>
      <c r="E1003" s="13" t="s">
        <v>93</v>
      </c>
      <c r="F1003" s="13" t="s">
        <v>5898</v>
      </c>
      <c r="G1003" s="20" t="str">
        <f>HYPERLINK("https://semena-nn.ru/catalog/35/888000001541","Фото")</f>
        <v>Фото</v>
      </c>
      <c r="H1003" s="18">
        <v>73.400000000000006</v>
      </c>
      <c r="I1003" s="27"/>
      <c r="J1003" s="13">
        <f>H1003*I1003</f>
        <v>0</v>
      </c>
    </row>
    <row r="1004" spans="1:10" ht="12" customHeight="1">
      <c r="A1004" s="13" t="s">
        <v>317</v>
      </c>
      <c r="B1004" s="13" t="s">
        <v>318</v>
      </c>
      <c r="C1004" s="13" t="s">
        <v>130</v>
      </c>
      <c r="D1004" s="13" t="s">
        <v>28</v>
      </c>
      <c r="E1004" s="13" t="s">
        <v>93</v>
      </c>
      <c r="F1004" s="13" t="s">
        <v>319</v>
      </c>
      <c r="G1004" s="20" t="str">
        <f>HYPERLINK("https://semena-nn.ru/catalog/35/999000011493","Фото")</f>
        <v>Фото</v>
      </c>
      <c r="H1004" s="19">
        <v>34.340000000000003</v>
      </c>
      <c r="I1004" s="27"/>
      <c r="J1004" s="13">
        <f>H1004*I1004</f>
        <v>0</v>
      </c>
    </row>
    <row r="1005" spans="1:10" ht="12" customHeight="1">
      <c r="A1005" s="13" t="s">
        <v>320</v>
      </c>
      <c r="B1005" s="13" t="s">
        <v>321</v>
      </c>
      <c r="C1005" s="13" t="s">
        <v>130</v>
      </c>
      <c r="D1005" s="13" t="s">
        <v>28</v>
      </c>
      <c r="E1005" s="13" t="s">
        <v>93</v>
      </c>
      <c r="F1005" s="13" t="s">
        <v>322</v>
      </c>
      <c r="G1005" s="20" t="str">
        <f>HYPERLINK("https://semena-nn.ru/catalog/35/999000011702","Фото")</f>
        <v>Фото</v>
      </c>
      <c r="H1005" s="19">
        <v>43.73</v>
      </c>
      <c r="I1005" s="27"/>
      <c r="J1005" s="13">
        <f>H1005*I1005</f>
        <v>0</v>
      </c>
    </row>
    <row r="1006" spans="1:10" ht="12" customHeight="1">
      <c r="A1006" s="13" t="s">
        <v>3926</v>
      </c>
      <c r="B1006" s="13" t="s">
        <v>3927</v>
      </c>
      <c r="C1006" s="13" t="s">
        <v>130</v>
      </c>
      <c r="D1006" s="13" t="s">
        <v>3475</v>
      </c>
      <c r="E1006" s="13" t="s">
        <v>93</v>
      </c>
      <c r="F1006" s="13" t="s">
        <v>3928</v>
      </c>
      <c r="G1006" s="20" t="str">
        <f>HYPERLINK("http://semena-nn.ru/catalog/35/1126695","Фото")</f>
        <v>Фото</v>
      </c>
      <c r="H1006" s="18">
        <v>34.1</v>
      </c>
      <c r="I1006" s="27"/>
      <c r="J1006" s="13">
        <f>H1006*I1006</f>
        <v>0</v>
      </c>
    </row>
    <row r="1007" spans="1:10" ht="12" customHeight="1">
      <c r="A1007" s="13" t="s">
        <v>2859</v>
      </c>
      <c r="B1007" s="13" t="s">
        <v>2860</v>
      </c>
      <c r="C1007" s="13" t="s">
        <v>130</v>
      </c>
      <c r="D1007" s="13" t="s">
        <v>697</v>
      </c>
      <c r="E1007" s="13" t="s">
        <v>2636</v>
      </c>
      <c r="F1007" s="13" t="s">
        <v>2861</v>
      </c>
      <c r="G1007" s="20" t="str">
        <f>HYPERLINK("http://semena-nn.ru/catalog/35/98463","Фото")</f>
        <v>Фото</v>
      </c>
      <c r="H1007" s="18">
        <v>8.5</v>
      </c>
      <c r="I1007" s="27"/>
      <c r="J1007" s="13">
        <f>H1007*I1007</f>
        <v>0</v>
      </c>
    </row>
    <row r="1008" spans="1:10" ht="12" customHeight="1">
      <c r="A1008" s="13" t="s">
        <v>3929</v>
      </c>
      <c r="B1008" s="13" t="s">
        <v>3930</v>
      </c>
      <c r="C1008" s="13" t="s">
        <v>130</v>
      </c>
      <c r="D1008" s="13" t="s">
        <v>3475</v>
      </c>
      <c r="E1008" s="13" t="s">
        <v>93</v>
      </c>
      <c r="F1008" s="13" t="s">
        <v>3931</v>
      </c>
      <c r="G1008" s="20" t="str">
        <f>HYPERLINK("http://semena-nn.ru/catalog/35/999000004706","Фото")</f>
        <v>Фото</v>
      </c>
      <c r="H1008" s="19">
        <v>52.64</v>
      </c>
      <c r="I1008" s="27"/>
      <c r="J1008" s="13">
        <f>H1008*I1008</f>
        <v>0</v>
      </c>
    </row>
    <row r="1009" spans="1:10" ht="12" customHeight="1">
      <c r="A1009" s="13" t="s">
        <v>8521</v>
      </c>
      <c r="B1009" s="13" t="s">
        <v>8522</v>
      </c>
      <c r="C1009" s="13" t="s">
        <v>130</v>
      </c>
      <c r="D1009" s="13" t="s">
        <v>8498</v>
      </c>
      <c r="E1009" s="13" t="s">
        <v>93</v>
      </c>
      <c r="F1009" s="13" t="s">
        <v>8523</v>
      </c>
      <c r="G1009" s="20" t="str">
        <f>HYPERLINK("https://semena-nn.ru/catalog/35/1285895","Фото")</f>
        <v>Фото</v>
      </c>
      <c r="H1009" s="18">
        <v>29.3</v>
      </c>
      <c r="I1009" s="27"/>
      <c r="J1009" s="13">
        <f>H1009*I1009</f>
        <v>0</v>
      </c>
    </row>
    <row r="1010" spans="1:10" ht="12" customHeight="1">
      <c r="A1010" s="13" t="s">
        <v>8524</v>
      </c>
      <c r="B1010" s="13" t="s">
        <v>8525</v>
      </c>
      <c r="C1010" s="13" t="s">
        <v>130</v>
      </c>
      <c r="D1010" s="13" t="s">
        <v>8498</v>
      </c>
      <c r="E1010" s="13" t="s">
        <v>93</v>
      </c>
      <c r="F1010" s="13" t="s">
        <v>8526</v>
      </c>
      <c r="G1010" s="20" t="str">
        <f>HYPERLINK("https://semena-nn.ru/catalog/35/1312343","Фото")</f>
        <v>Фото</v>
      </c>
      <c r="H1010" s="18">
        <v>17.399999999999999</v>
      </c>
      <c r="I1010" s="27"/>
      <c r="J1010" s="13">
        <f>H1010*I1010</f>
        <v>0</v>
      </c>
    </row>
    <row r="1011" spans="1:10" ht="12" customHeight="1">
      <c r="A1011" s="13" t="s">
        <v>7005</v>
      </c>
      <c r="B1011" s="13" t="s">
        <v>7006</v>
      </c>
      <c r="C1011" s="13" t="s">
        <v>130</v>
      </c>
      <c r="D1011" s="13" t="s">
        <v>6927</v>
      </c>
      <c r="E1011" s="13" t="s">
        <v>93</v>
      </c>
      <c r="F1011" s="13" t="s">
        <v>7007</v>
      </c>
      <c r="G1011" s="20" t="str">
        <f>HYPERLINK("https://semena-nn.ru/catalog/35/1299611","Фото")</f>
        <v>Фото</v>
      </c>
      <c r="H1011" s="15">
        <v>33</v>
      </c>
      <c r="I1011" s="27"/>
      <c r="J1011" s="13">
        <f>H1011*I1011</f>
        <v>0</v>
      </c>
    </row>
    <row r="1012" spans="1:10" ht="12" customHeight="1">
      <c r="A1012" s="13" t="s">
        <v>1324</v>
      </c>
      <c r="B1012" s="13" t="s">
        <v>1325</v>
      </c>
      <c r="C1012" s="13" t="s">
        <v>130</v>
      </c>
      <c r="D1012" s="13" t="s">
        <v>697</v>
      </c>
      <c r="E1012" s="13" t="s">
        <v>93</v>
      </c>
      <c r="F1012" s="13" t="s">
        <v>1326</v>
      </c>
      <c r="G1012" s="20" t="str">
        <f>HYPERLINK("http://semena-nn.ru/catalog/35/1304356","Фото")</f>
        <v>Фото</v>
      </c>
      <c r="H1012" s="19">
        <v>29.45</v>
      </c>
      <c r="I1012" s="27"/>
      <c r="J1012" s="13">
        <f>H1012*I1012</f>
        <v>0</v>
      </c>
    </row>
    <row r="1013" spans="1:10" ht="12" customHeight="1">
      <c r="A1013" s="13" t="s">
        <v>1327</v>
      </c>
      <c r="B1013" s="13" t="s">
        <v>1328</v>
      </c>
      <c r="C1013" s="13" t="s">
        <v>130</v>
      </c>
      <c r="D1013" s="13" t="s">
        <v>697</v>
      </c>
      <c r="E1013" s="13" t="s">
        <v>93</v>
      </c>
      <c r="F1013" s="13" t="s">
        <v>1329</v>
      </c>
      <c r="G1013" s="20" t="str">
        <f>HYPERLINK("https://semena-nn.ru/catalog/35/999000013123","Фото")</f>
        <v>Фото</v>
      </c>
      <c r="H1013" s="19">
        <v>56.45</v>
      </c>
      <c r="I1013" s="27"/>
      <c r="J1013" s="13">
        <f>H1013*I1013</f>
        <v>0</v>
      </c>
    </row>
    <row r="1014" spans="1:10" ht="12" customHeight="1">
      <c r="A1014" s="13" t="s">
        <v>1330</v>
      </c>
      <c r="B1014" s="13" t="s">
        <v>1331</v>
      </c>
      <c r="C1014" s="13" t="s">
        <v>130</v>
      </c>
      <c r="D1014" s="13" t="s">
        <v>697</v>
      </c>
      <c r="E1014" s="13" t="s">
        <v>93</v>
      </c>
      <c r="F1014" s="13" t="s">
        <v>1332</v>
      </c>
      <c r="G1014" s="20" t="str">
        <f>HYPERLINK("https://semena-nn.ru/catalog/35/92153","Фото")</f>
        <v>Фото</v>
      </c>
      <c r="H1014" s="18">
        <v>57.3</v>
      </c>
      <c r="I1014" s="27"/>
      <c r="J1014" s="13">
        <f>H1014*I1014</f>
        <v>0</v>
      </c>
    </row>
    <row r="1015" spans="1:10" ht="12" customHeight="1">
      <c r="A1015" s="13" t="s">
        <v>8527</v>
      </c>
      <c r="B1015" s="13" t="s">
        <v>8528</v>
      </c>
      <c r="C1015" s="13" t="s">
        <v>130</v>
      </c>
      <c r="D1015" s="13" t="s">
        <v>8498</v>
      </c>
      <c r="E1015" s="13" t="s">
        <v>93</v>
      </c>
      <c r="F1015" s="13" t="s">
        <v>8529</v>
      </c>
      <c r="G1015" s="20" t="str">
        <f>HYPERLINK("https://semena-nn.ru/catalog/35/999000007962","Фото")</f>
        <v>Фото</v>
      </c>
      <c r="H1015" s="19">
        <v>32.75</v>
      </c>
      <c r="I1015" s="27"/>
      <c r="J1015" s="13">
        <f>H1015*I1015</f>
        <v>0</v>
      </c>
    </row>
    <row r="1016" spans="1:10" ht="12" customHeight="1">
      <c r="A1016" s="13" t="s">
        <v>2862</v>
      </c>
      <c r="B1016" s="13" t="s">
        <v>2863</v>
      </c>
      <c r="C1016" s="13" t="s">
        <v>130</v>
      </c>
      <c r="D1016" s="13" t="s">
        <v>697</v>
      </c>
      <c r="E1016" s="13" t="s">
        <v>2636</v>
      </c>
      <c r="F1016" s="13" t="s">
        <v>2864</v>
      </c>
      <c r="G1016" s="20" t="str">
        <f>HYPERLINK("http://semena-nn.ru/catalog/35/80914","Фото")</f>
        <v>Фото</v>
      </c>
      <c r="H1016" s="19">
        <v>8.85</v>
      </c>
      <c r="I1016" s="27"/>
      <c r="J1016" s="13">
        <f>H1016*I1016</f>
        <v>0</v>
      </c>
    </row>
    <row r="1017" spans="1:10" ht="12" customHeight="1">
      <c r="A1017" s="13" t="s">
        <v>7008</v>
      </c>
      <c r="B1017" s="13" t="s">
        <v>7009</v>
      </c>
      <c r="C1017" s="13" t="s">
        <v>130</v>
      </c>
      <c r="D1017" s="13" t="s">
        <v>6927</v>
      </c>
      <c r="E1017" s="13" t="s">
        <v>93</v>
      </c>
      <c r="F1017" s="17" t="s">
        <v>7010</v>
      </c>
      <c r="G1017" s="20" t="str">
        <f>HYPERLINK("http://semena-nn.ru/catalog/35/1313631","Фото")</f>
        <v>Фото</v>
      </c>
      <c r="H1017" s="15">
        <v>44</v>
      </c>
      <c r="I1017" s="27"/>
      <c r="J1017" s="13">
        <f>H1017*I1017</f>
        <v>0</v>
      </c>
    </row>
    <row r="1018" spans="1:10" ht="12" customHeight="1">
      <c r="A1018" s="13" t="s">
        <v>323</v>
      </c>
      <c r="B1018" s="13" t="s">
        <v>324</v>
      </c>
      <c r="C1018" s="13" t="s">
        <v>130</v>
      </c>
      <c r="D1018" s="13" t="s">
        <v>28</v>
      </c>
      <c r="E1018" s="13" t="s">
        <v>93</v>
      </c>
      <c r="F1018" s="13" t="s">
        <v>325</v>
      </c>
      <c r="G1018" s="20" t="str">
        <f>HYPERLINK("https://semena-nn.ru/catalog/35/999000009710","Фото")</f>
        <v>Фото</v>
      </c>
      <c r="H1018" s="19">
        <v>30.08</v>
      </c>
      <c r="I1018" s="27"/>
      <c r="J1018" s="13">
        <f>H1018*I1018</f>
        <v>0</v>
      </c>
    </row>
    <row r="1019" spans="1:10" ht="12" customHeight="1">
      <c r="A1019" s="13" t="s">
        <v>1333</v>
      </c>
      <c r="B1019" s="13" t="s">
        <v>1334</v>
      </c>
      <c r="C1019" s="13" t="s">
        <v>130</v>
      </c>
      <c r="D1019" s="13" t="s">
        <v>697</v>
      </c>
      <c r="E1019" s="13" t="s">
        <v>93</v>
      </c>
      <c r="F1019" s="13" t="s">
        <v>1335</v>
      </c>
      <c r="G1019" s="20" t="str">
        <f>HYPERLINK("https://semena-nn.ru/catalog/35/2301","Фото")</f>
        <v>Фото</v>
      </c>
      <c r="H1019" s="18">
        <v>44.3</v>
      </c>
      <c r="I1019" s="27"/>
      <c r="J1019" s="13">
        <f>H1019*I1019</f>
        <v>0</v>
      </c>
    </row>
    <row r="1020" spans="1:10" ht="12" customHeight="1">
      <c r="A1020" s="13" t="s">
        <v>326</v>
      </c>
      <c r="B1020" s="13" t="s">
        <v>327</v>
      </c>
      <c r="C1020" s="13" t="s">
        <v>130</v>
      </c>
      <c r="D1020" s="13" t="s">
        <v>28</v>
      </c>
      <c r="E1020" s="13" t="s">
        <v>93</v>
      </c>
      <c r="F1020" s="13" t="s">
        <v>328</v>
      </c>
      <c r="G1020" s="20" t="str">
        <f>HYPERLINK("https://semena-nn.ru/catalog/35/999000009976","Фото")</f>
        <v>Фото</v>
      </c>
      <c r="H1020" s="19">
        <v>30.08</v>
      </c>
      <c r="I1020" s="27"/>
      <c r="J1020" s="13">
        <f>H1020*I1020</f>
        <v>0</v>
      </c>
    </row>
    <row r="1021" spans="1:10" ht="12" customHeight="1">
      <c r="A1021" s="13" t="s">
        <v>6412</v>
      </c>
      <c r="B1021" s="13" t="s">
        <v>6413</v>
      </c>
      <c r="C1021" s="13" t="s">
        <v>130</v>
      </c>
      <c r="D1021" s="13" t="s">
        <v>6407</v>
      </c>
      <c r="E1021" s="13" t="s">
        <v>93</v>
      </c>
      <c r="F1021" s="13" t="s">
        <v>6414</v>
      </c>
      <c r="G1021" s="20" t="str">
        <f>HYPERLINK("https://semena-nn.ru/catalog/35/999000013358","Фото")</f>
        <v>Фото</v>
      </c>
      <c r="H1021" s="19">
        <v>26.87</v>
      </c>
      <c r="I1021" s="27"/>
      <c r="J1021" s="13">
        <f>H1021*I1021</f>
        <v>0</v>
      </c>
    </row>
    <row r="1022" spans="1:10" ht="12" customHeight="1">
      <c r="A1022" s="13" t="s">
        <v>8006</v>
      </c>
      <c r="B1022" s="13" t="s">
        <v>8007</v>
      </c>
      <c r="C1022" s="13" t="s">
        <v>130</v>
      </c>
      <c r="D1022" s="13" t="s">
        <v>7728</v>
      </c>
      <c r="E1022" s="13" t="s">
        <v>93</v>
      </c>
      <c r="F1022" s="13" t="s">
        <v>8008</v>
      </c>
      <c r="G1022" s="20" t="str">
        <f>HYPERLINK("https://semena-nn.ru/catalog/35/97307","Фото")</f>
        <v>Фото</v>
      </c>
      <c r="H1022" s="18">
        <v>20.7</v>
      </c>
      <c r="I1022" s="27"/>
      <c r="J1022" s="13">
        <f>H1022*I1022</f>
        <v>0</v>
      </c>
    </row>
    <row r="1023" spans="1:10" ht="12" customHeight="1">
      <c r="A1023" s="13" t="s">
        <v>2865</v>
      </c>
      <c r="B1023" s="13" t="s">
        <v>2866</v>
      </c>
      <c r="C1023" s="13" t="s">
        <v>130</v>
      </c>
      <c r="D1023" s="13" t="s">
        <v>697</v>
      </c>
      <c r="E1023" s="13" t="s">
        <v>2636</v>
      </c>
      <c r="F1023" s="13" t="s">
        <v>2867</v>
      </c>
      <c r="G1023" s="20" t="str">
        <f>HYPERLINK("https://semena-nn.ru/catalog/35/92823","Фото")</f>
        <v>Фото</v>
      </c>
      <c r="H1023" s="19">
        <v>8.0500000000000007</v>
      </c>
      <c r="I1023" s="27"/>
      <c r="J1023" s="13">
        <f>H1023*I1023</f>
        <v>0</v>
      </c>
    </row>
    <row r="1024" spans="1:10" ht="12" customHeight="1">
      <c r="A1024" s="13" t="s">
        <v>3260</v>
      </c>
      <c r="B1024" s="13" t="s">
        <v>3261</v>
      </c>
      <c r="C1024" s="13" t="s">
        <v>130</v>
      </c>
      <c r="D1024" s="13" t="s">
        <v>697</v>
      </c>
      <c r="E1024" s="13" t="s">
        <v>3064</v>
      </c>
      <c r="F1024" s="13" t="s">
        <v>3262</v>
      </c>
      <c r="G1024" s="20" t="str">
        <f>HYPERLINK("http://semena-nn.ru/catalog/35/1287478","Фото")</f>
        <v>Фото</v>
      </c>
      <c r="H1024" s="18">
        <v>13.1</v>
      </c>
      <c r="I1024" s="27"/>
      <c r="J1024" s="13">
        <f>H1024*I1024</f>
        <v>0</v>
      </c>
    </row>
    <row r="1025" spans="1:10" ht="12" customHeight="1">
      <c r="A1025" s="13" t="s">
        <v>329</v>
      </c>
      <c r="B1025" s="13" t="s">
        <v>330</v>
      </c>
      <c r="C1025" s="13" t="s">
        <v>130</v>
      </c>
      <c r="D1025" s="13" t="s">
        <v>28</v>
      </c>
      <c r="E1025" s="13" t="s">
        <v>93</v>
      </c>
      <c r="F1025" s="13" t="s">
        <v>331</v>
      </c>
      <c r="G1025" s="20" t="str">
        <f>HYPERLINK("https://semena-nn.ru/catalog/35/999000009711","Фото")</f>
        <v>Фото</v>
      </c>
      <c r="H1025" s="19">
        <v>34.909999999999997</v>
      </c>
      <c r="I1025" s="27"/>
      <c r="J1025" s="13">
        <f>H1025*I1025</f>
        <v>0</v>
      </c>
    </row>
    <row r="1026" spans="1:10" ht="12" customHeight="1">
      <c r="A1026" s="13" t="s">
        <v>8009</v>
      </c>
      <c r="B1026" s="13" t="s">
        <v>8010</v>
      </c>
      <c r="C1026" s="13" t="s">
        <v>130</v>
      </c>
      <c r="D1026" s="13" t="s">
        <v>7728</v>
      </c>
      <c r="E1026" s="13" t="s">
        <v>93</v>
      </c>
      <c r="F1026" s="13" t="s">
        <v>8011</v>
      </c>
      <c r="G1026" s="20" t="str">
        <f>HYPERLINK("http://semena-nn.ru/catalog/35/999000000718","Фото")</f>
        <v>Фото</v>
      </c>
      <c r="H1026" s="19">
        <v>101.35</v>
      </c>
      <c r="I1026" s="27"/>
      <c r="J1026" s="13">
        <f>H1026*I1026</f>
        <v>0</v>
      </c>
    </row>
    <row r="1027" spans="1:10" ht="12" customHeight="1">
      <c r="A1027" s="13" t="s">
        <v>8012</v>
      </c>
      <c r="B1027" s="13" t="s">
        <v>8013</v>
      </c>
      <c r="C1027" s="13" t="s">
        <v>130</v>
      </c>
      <c r="D1027" s="13" t="s">
        <v>7728</v>
      </c>
      <c r="E1027" s="13" t="s">
        <v>93</v>
      </c>
      <c r="F1027" s="13" t="s">
        <v>8014</v>
      </c>
      <c r="G1027" s="20" t="str">
        <f>HYPERLINK("http://semena-nn.ru/catalog/35/1309736","Фото")</f>
        <v>Фото</v>
      </c>
      <c r="H1027" s="19">
        <v>101.35</v>
      </c>
      <c r="I1027" s="27"/>
      <c r="J1027" s="13">
        <f>H1027*I1027</f>
        <v>0</v>
      </c>
    </row>
    <row r="1028" spans="1:10" ht="12" customHeight="1">
      <c r="A1028" s="13" t="s">
        <v>8848</v>
      </c>
      <c r="B1028" s="13" t="s">
        <v>8849</v>
      </c>
      <c r="C1028" s="13" t="s">
        <v>130</v>
      </c>
      <c r="D1028" s="13" t="s">
        <v>8717</v>
      </c>
      <c r="E1028" s="13" t="s">
        <v>93</v>
      </c>
      <c r="F1028" s="13" t="s">
        <v>8850</v>
      </c>
      <c r="G1028" s="20" t="str">
        <f>HYPERLINK("https://semena-nn.ru/catalog/35/1305064","Фото")</f>
        <v>Фото</v>
      </c>
      <c r="H1028" s="18">
        <v>74.5</v>
      </c>
      <c r="I1028" s="27"/>
      <c r="J1028" s="13">
        <f>H1028*I1028</f>
        <v>0</v>
      </c>
    </row>
    <row r="1029" spans="1:10" ht="12" customHeight="1">
      <c r="A1029" s="13" t="s">
        <v>8530</v>
      </c>
      <c r="B1029" s="13" t="s">
        <v>8531</v>
      </c>
      <c r="C1029" s="13" t="s">
        <v>130</v>
      </c>
      <c r="D1029" s="13" t="s">
        <v>8498</v>
      </c>
      <c r="E1029" s="13" t="s">
        <v>93</v>
      </c>
      <c r="F1029" s="13" t="s">
        <v>8532</v>
      </c>
      <c r="G1029" s="20" t="str">
        <f>HYPERLINK("http://semena-nn.ru/catalog/35/105692","Фото")</f>
        <v>Фото</v>
      </c>
      <c r="H1029" s="18">
        <v>20.3</v>
      </c>
      <c r="I1029" s="27"/>
      <c r="J1029" s="13">
        <f>H1029*I1029</f>
        <v>0</v>
      </c>
    </row>
    <row r="1030" spans="1:10" ht="12" customHeight="1">
      <c r="A1030" s="13" t="s">
        <v>8851</v>
      </c>
      <c r="B1030" s="13" t="s">
        <v>8852</v>
      </c>
      <c r="C1030" s="13" t="s">
        <v>130</v>
      </c>
      <c r="D1030" s="13" t="s">
        <v>8717</v>
      </c>
      <c r="E1030" s="13" t="s">
        <v>93</v>
      </c>
      <c r="F1030" s="17" t="s">
        <v>8853</v>
      </c>
      <c r="G1030" s="20" t="str">
        <f>HYPERLINK("http://semena-nn.ru/catalog/35/1303741","Фото")</f>
        <v>Фото</v>
      </c>
      <c r="H1030" s="18">
        <v>71.7</v>
      </c>
      <c r="I1030" s="27"/>
      <c r="J1030" s="13">
        <f>H1030*I1030</f>
        <v>0</v>
      </c>
    </row>
    <row r="1031" spans="1:10" ht="12" customHeight="1">
      <c r="A1031" s="13" t="s">
        <v>332</v>
      </c>
      <c r="B1031" s="13" t="s">
        <v>333</v>
      </c>
      <c r="C1031" s="13" t="s">
        <v>130</v>
      </c>
      <c r="D1031" s="13" t="s">
        <v>28</v>
      </c>
      <c r="E1031" s="13" t="s">
        <v>93</v>
      </c>
      <c r="F1031" s="13" t="s">
        <v>334</v>
      </c>
      <c r="G1031" s="20" t="str">
        <f>HYPERLINK("https://semena-nn.ru/catalog/35/888000007545","Фото")</f>
        <v>Фото</v>
      </c>
      <c r="H1031" s="19">
        <v>112.19</v>
      </c>
      <c r="I1031" s="27"/>
      <c r="J1031" s="13">
        <f>H1031*I1031</f>
        <v>0</v>
      </c>
    </row>
    <row r="1032" spans="1:10" ht="12" customHeight="1">
      <c r="A1032" s="13" t="s">
        <v>8015</v>
      </c>
      <c r="B1032" s="13" t="s">
        <v>8016</v>
      </c>
      <c r="C1032" s="13" t="s">
        <v>130</v>
      </c>
      <c r="D1032" s="13" t="s">
        <v>7728</v>
      </c>
      <c r="E1032" s="13" t="s">
        <v>93</v>
      </c>
      <c r="F1032" s="13" t="s">
        <v>8017</v>
      </c>
      <c r="G1032" s="20" t="str">
        <f>HYPERLINK("https://semena-nn.ru/catalog/35/101967","Фото")</f>
        <v>Фото</v>
      </c>
      <c r="H1032" s="15">
        <v>29</v>
      </c>
      <c r="I1032" s="27"/>
      <c r="J1032" s="13">
        <f>H1032*I1032</f>
        <v>0</v>
      </c>
    </row>
    <row r="1033" spans="1:10" ht="12" customHeight="1">
      <c r="A1033" s="13" t="s">
        <v>8358</v>
      </c>
      <c r="B1033" s="13" t="s">
        <v>8359</v>
      </c>
      <c r="C1033" s="13" t="s">
        <v>130</v>
      </c>
      <c r="D1033" s="13" t="s">
        <v>8317</v>
      </c>
      <c r="E1033" s="13" t="s">
        <v>93</v>
      </c>
      <c r="F1033" s="13" t="s">
        <v>8360</v>
      </c>
      <c r="G1033" s="20" t="str">
        <f>HYPERLINK("https://semena-nn.ru/catalog/35/1298424","Фото")</f>
        <v>Фото</v>
      </c>
      <c r="H1033" s="19">
        <v>66.150000000000006</v>
      </c>
      <c r="I1033" s="27"/>
      <c r="J1033" s="13">
        <f>H1033*I1033</f>
        <v>0</v>
      </c>
    </row>
    <row r="1034" spans="1:10" ht="12" customHeight="1">
      <c r="A1034" s="13" t="s">
        <v>5899</v>
      </c>
      <c r="B1034" s="13" t="s">
        <v>5900</v>
      </c>
      <c r="C1034" s="13" t="s">
        <v>130</v>
      </c>
      <c r="D1034" s="13" t="s">
        <v>5834</v>
      </c>
      <c r="E1034" s="13" t="s">
        <v>2636</v>
      </c>
      <c r="F1034" s="13" t="s">
        <v>5901</v>
      </c>
      <c r="G1034" s="20" t="str">
        <f>HYPERLINK("https://semena-nn.ru/catalog/35/888000001546","Фото")</f>
        <v>Фото</v>
      </c>
      <c r="H1034" s="18">
        <v>12.6</v>
      </c>
      <c r="I1034" s="27"/>
      <c r="J1034" s="13">
        <f>H1034*I1034</f>
        <v>0</v>
      </c>
    </row>
    <row r="1035" spans="1:10" ht="12" customHeight="1">
      <c r="A1035" s="13" t="s">
        <v>335</v>
      </c>
      <c r="B1035" s="13" t="s">
        <v>336</v>
      </c>
      <c r="C1035" s="13" t="s">
        <v>130</v>
      </c>
      <c r="D1035" s="13" t="s">
        <v>28</v>
      </c>
      <c r="E1035" s="13" t="s">
        <v>93</v>
      </c>
      <c r="F1035" s="13" t="s">
        <v>337</v>
      </c>
      <c r="G1035" s="20" t="str">
        <f>HYPERLINK("https://semena-nn.ru/catalog/35/888000007546","Фото")</f>
        <v>Фото</v>
      </c>
      <c r="H1035" s="19">
        <v>22.58</v>
      </c>
      <c r="I1035" s="27"/>
      <c r="J1035" s="13">
        <f>H1035*I1035</f>
        <v>0</v>
      </c>
    </row>
    <row r="1036" spans="1:10" ht="12" customHeight="1">
      <c r="A1036" s="13" t="s">
        <v>3932</v>
      </c>
      <c r="B1036" s="13" t="s">
        <v>3933</v>
      </c>
      <c r="C1036" s="13" t="s">
        <v>130</v>
      </c>
      <c r="D1036" s="13" t="s">
        <v>3475</v>
      </c>
      <c r="E1036" s="13" t="s">
        <v>93</v>
      </c>
      <c r="F1036" s="13" t="s">
        <v>3934</v>
      </c>
      <c r="G1036" s="20" t="str">
        <f>HYPERLINK("https://semena-nn.ru/catalog/35/999000012010","Фото")</f>
        <v>Фото</v>
      </c>
      <c r="H1036" s="18">
        <v>32.9</v>
      </c>
      <c r="I1036" s="27"/>
      <c r="J1036" s="13">
        <f>H1036*I1036</f>
        <v>0</v>
      </c>
    </row>
    <row r="1037" spans="1:10" ht="12" customHeight="1">
      <c r="A1037" s="13" t="s">
        <v>3935</v>
      </c>
      <c r="B1037" s="13" t="s">
        <v>3936</v>
      </c>
      <c r="C1037" s="13" t="s">
        <v>130</v>
      </c>
      <c r="D1037" s="13" t="s">
        <v>3475</v>
      </c>
      <c r="E1037" s="13" t="s">
        <v>93</v>
      </c>
      <c r="F1037" s="13" t="s">
        <v>3937</v>
      </c>
      <c r="G1037" s="20" t="str">
        <f>HYPERLINK("https://semena-nn.ru/catalog/35/999000019974","Фото")</f>
        <v>Фото</v>
      </c>
      <c r="H1037" s="18">
        <v>32.9</v>
      </c>
      <c r="I1037" s="27"/>
      <c r="J1037" s="13">
        <f>H1037*I1037</f>
        <v>0</v>
      </c>
    </row>
    <row r="1038" spans="1:10" ht="12" customHeight="1">
      <c r="A1038" s="13" t="s">
        <v>8361</v>
      </c>
      <c r="B1038" s="13" t="s">
        <v>8362</v>
      </c>
      <c r="C1038" s="13" t="s">
        <v>130</v>
      </c>
      <c r="D1038" s="13" t="s">
        <v>8317</v>
      </c>
      <c r="E1038" s="13" t="s">
        <v>93</v>
      </c>
      <c r="F1038" s="13" t="s">
        <v>8363</v>
      </c>
      <c r="G1038" s="20" t="str">
        <f>HYPERLINK("https://semena-nn.ru/catalog/35/888000000112","Фото")</f>
        <v>Фото</v>
      </c>
      <c r="H1038" s="18">
        <v>165.5</v>
      </c>
      <c r="I1038" s="27"/>
      <c r="J1038" s="13">
        <f>H1038*I1038</f>
        <v>0</v>
      </c>
    </row>
    <row r="1039" spans="1:10" ht="12" customHeight="1">
      <c r="A1039" s="13" t="s">
        <v>7286</v>
      </c>
      <c r="B1039" s="13" t="s">
        <v>7287</v>
      </c>
      <c r="C1039" s="13" t="s">
        <v>130</v>
      </c>
      <c r="D1039" s="13" t="s">
        <v>7148</v>
      </c>
      <c r="E1039" s="13" t="s">
        <v>93</v>
      </c>
      <c r="F1039" s="13" t="s">
        <v>7288</v>
      </c>
      <c r="G1039" s="20" t="str">
        <f>HYPERLINK("https://semena-nn.ru/catalog/35/888000000349","Фото")</f>
        <v>Фото</v>
      </c>
      <c r="H1039" s="18">
        <v>146.19999999999999</v>
      </c>
      <c r="I1039" s="27"/>
      <c r="J1039" s="13">
        <f>H1039*I1039</f>
        <v>0</v>
      </c>
    </row>
    <row r="1040" spans="1:10" ht="12" customHeight="1">
      <c r="A1040" s="13" t="s">
        <v>8364</v>
      </c>
      <c r="B1040" s="13" t="s">
        <v>8365</v>
      </c>
      <c r="C1040" s="13" t="s">
        <v>130</v>
      </c>
      <c r="D1040" s="13" t="s">
        <v>8317</v>
      </c>
      <c r="E1040" s="13" t="s">
        <v>93</v>
      </c>
      <c r="F1040" s="13" t="s">
        <v>8366</v>
      </c>
      <c r="G1040" s="20" t="str">
        <f>HYPERLINK("https://semena-nn.ru/catalog/35/999000021431","Фото")</f>
        <v>Фото</v>
      </c>
      <c r="H1040" s="18">
        <v>165.5</v>
      </c>
      <c r="I1040" s="27"/>
      <c r="J1040" s="13">
        <f>H1040*I1040</f>
        <v>0</v>
      </c>
    </row>
    <row r="1041" spans="1:10" ht="12" customHeight="1">
      <c r="A1041" s="13" t="s">
        <v>7289</v>
      </c>
      <c r="B1041" s="13" t="s">
        <v>7290</v>
      </c>
      <c r="C1041" s="13" t="s">
        <v>130</v>
      </c>
      <c r="D1041" s="13" t="s">
        <v>7148</v>
      </c>
      <c r="E1041" s="13" t="s">
        <v>93</v>
      </c>
      <c r="F1041" s="13" t="s">
        <v>7291</v>
      </c>
      <c r="G1041" s="20" t="str">
        <f>HYPERLINK("https://semena-nn.ru/catalog/35/999000009515","Фото")</f>
        <v>Фото</v>
      </c>
      <c r="H1041" s="18">
        <v>146.19999999999999</v>
      </c>
      <c r="I1041" s="27"/>
      <c r="J1041" s="13">
        <f>H1041*I1041</f>
        <v>0</v>
      </c>
    </row>
    <row r="1042" spans="1:10" ht="12" customHeight="1">
      <c r="A1042" s="13" t="s">
        <v>8367</v>
      </c>
      <c r="B1042" s="13" t="s">
        <v>8368</v>
      </c>
      <c r="C1042" s="13" t="s">
        <v>130</v>
      </c>
      <c r="D1042" s="13" t="s">
        <v>8317</v>
      </c>
      <c r="E1042" s="13" t="s">
        <v>93</v>
      </c>
      <c r="F1042" s="13" t="s">
        <v>8369</v>
      </c>
      <c r="G1042" s="20" t="str">
        <f>HYPERLINK("https://semena-nn.ru/catalog/35/888000007557","Фото")</f>
        <v>Фото</v>
      </c>
      <c r="H1042" s="18">
        <v>165.5</v>
      </c>
      <c r="I1042" s="27"/>
      <c r="J1042" s="13">
        <f>H1042*I1042</f>
        <v>0</v>
      </c>
    </row>
    <row r="1043" spans="1:10" ht="12" customHeight="1">
      <c r="A1043" s="13" t="s">
        <v>1336</v>
      </c>
      <c r="B1043" s="13" t="s">
        <v>1337</v>
      </c>
      <c r="C1043" s="13" t="s">
        <v>130</v>
      </c>
      <c r="D1043" s="13" t="s">
        <v>697</v>
      </c>
      <c r="E1043" s="13" t="s">
        <v>93</v>
      </c>
      <c r="F1043" s="13" t="s">
        <v>1338</v>
      </c>
      <c r="G1043" s="20" t="str">
        <f>HYPERLINK("https://semena-nn.ru/catalog/35/999000005777","Фото")</f>
        <v>Фото</v>
      </c>
      <c r="H1043" s="15">
        <v>22</v>
      </c>
      <c r="I1043" s="27"/>
      <c r="J1043" s="13">
        <f>H1043*I1043</f>
        <v>0</v>
      </c>
    </row>
    <row r="1044" spans="1:10" ht="12" customHeight="1">
      <c r="A1044" s="13" t="s">
        <v>8018</v>
      </c>
      <c r="B1044" s="13" t="s">
        <v>8019</v>
      </c>
      <c r="C1044" s="13" t="s">
        <v>130</v>
      </c>
      <c r="D1044" s="13" t="s">
        <v>7728</v>
      </c>
      <c r="E1044" s="13" t="s">
        <v>93</v>
      </c>
      <c r="F1044" s="13" t="s">
        <v>8020</v>
      </c>
      <c r="G1044" s="20" t="str">
        <f>HYPERLINK("https://semena-nn.ru/catalog/35/1308596","Фото")</f>
        <v>Фото</v>
      </c>
      <c r="H1044" s="19">
        <v>101.35</v>
      </c>
      <c r="I1044" s="27"/>
      <c r="J1044" s="13">
        <f>H1044*I1044</f>
        <v>0</v>
      </c>
    </row>
    <row r="1045" spans="1:10" ht="12" customHeight="1">
      <c r="A1045" s="13" t="s">
        <v>8021</v>
      </c>
      <c r="B1045" s="13" t="s">
        <v>8022</v>
      </c>
      <c r="C1045" s="13" t="s">
        <v>130</v>
      </c>
      <c r="D1045" s="13" t="s">
        <v>7728</v>
      </c>
      <c r="E1045" s="13" t="s">
        <v>93</v>
      </c>
      <c r="F1045" s="13" t="s">
        <v>8023</v>
      </c>
      <c r="G1045" s="20" t="str">
        <f>HYPERLINK("http://semena-nn.ru/catalog/35/1309738","Фото")</f>
        <v>Фото</v>
      </c>
      <c r="H1045" s="19">
        <v>101.35</v>
      </c>
      <c r="I1045" s="27"/>
      <c r="J1045" s="13">
        <f>H1045*I1045</f>
        <v>0</v>
      </c>
    </row>
    <row r="1046" spans="1:10" ht="12" customHeight="1">
      <c r="A1046" s="13" t="s">
        <v>8024</v>
      </c>
      <c r="B1046" s="13" t="s">
        <v>8025</v>
      </c>
      <c r="C1046" s="13" t="s">
        <v>130</v>
      </c>
      <c r="D1046" s="13" t="s">
        <v>7728</v>
      </c>
      <c r="E1046" s="13" t="s">
        <v>93</v>
      </c>
      <c r="F1046" s="13" t="s">
        <v>8026</v>
      </c>
      <c r="G1046" s="20" t="str">
        <f>HYPERLINK("https://semena-nn.ru/catalog/35/105775","Фото")</f>
        <v>Фото</v>
      </c>
      <c r="H1046" s="19">
        <v>101.35</v>
      </c>
      <c r="I1046" s="27"/>
      <c r="J1046" s="13">
        <f>H1046*I1046</f>
        <v>0</v>
      </c>
    </row>
    <row r="1047" spans="1:10" ht="12" customHeight="1">
      <c r="A1047" s="13" t="s">
        <v>8027</v>
      </c>
      <c r="B1047" s="13" t="s">
        <v>8028</v>
      </c>
      <c r="C1047" s="13" t="s">
        <v>130</v>
      </c>
      <c r="D1047" s="13" t="s">
        <v>7728</v>
      </c>
      <c r="E1047" s="13" t="s">
        <v>93</v>
      </c>
      <c r="F1047" s="13" t="s">
        <v>8029</v>
      </c>
      <c r="G1047" s="20" t="str">
        <f>HYPERLINK("https://semena-nn.ru/catalog/35/104406","Фото")</f>
        <v>Фото</v>
      </c>
      <c r="H1047" s="19">
        <v>101.35</v>
      </c>
      <c r="I1047" s="27"/>
      <c r="J1047" s="13">
        <f>H1047*I1047</f>
        <v>0</v>
      </c>
    </row>
    <row r="1048" spans="1:10" ht="12" customHeight="1">
      <c r="A1048" s="13" t="s">
        <v>2868</v>
      </c>
      <c r="B1048" s="13" t="s">
        <v>2869</v>
      </c>
      <c r="C1048" s="13" t="s">
        <v>130</v>
      </c>
      <c r="D1048" s="13" t="s">
        <v>697</v>
      </c>
      <c r="E1048" s="13" t="s">
        <v>2636</v>
      </c>
      <c r="F1048" s="13" t="s">
        <v>2870</v>
      </c>
      <c r="G1048" s="20" t="str">
        <f>HYPERLINK("https://semena-nn.ru/catalog/35/3047","Фото")</f>
        <v>Фото</v>
      </c>
      <c r="H1048" s="19">
        <v>7.85</v>
      </c>
      <c r="I1048" s="27"/>
      <c r="J1048" s="13">
        <f>H1048*I1048</f>
        <v>0</v>
      </c>
    </row>
    <row r="1049" spans="1:10" ht="12" customHeight="1">
      <c r="A1049" s="13" t="s">
        <v>8370</v>
      </c>
      <c r="B1049" s="13" t="s">
        <v>8371</v>
      </c>
      <c r="C1049" s="13" t="s">
        <v>130</v>
      </c>
      <c r="D1049" s="13" t="s">
        <v>8317</v>
      </c>
      <c r="E1049" s="13" t="s">
        <v>93</v>
      </c>
      <c r="F1049" s="17" t="s">
        <v>8372</v>
      </c>
      <c r="G1049" s="20" t="str">
        <f>HYPERLINK("http://semena-nn.ru/catalog/35/999000003735","Фото")</f>
        <v>Фото</v>
      </c>
      <c r="H1049" s="18">
        <v>88.2</v>
      </c>
      <c r="I1049" s="27"/>
      <c r="J1049" s="13">
        <f>H1049*I1049</f>
        <v>0</v>
      </c>
    </row>
    <row r="1050" spans="1:10" ht="12" customHeight="1">
      <c r="A1050" s="13" t="s">
        <v>7011</v>
      </c>
      <c r="B1050" s="13" t="s">
        <v>7012</v>
      </c>
      <c r="C1050" s="13" t="s">
        <v>130</v>
      </c>
      <c r="D1050" s="13" t="s">
        <v>6927</v>
      </c>
      <c r="E1050" s="13" t="s">
        <v>93</v>
      </c>
      <c r="F1050" s="13" t="s">
        <v>7013</v>
      </c>
      <c r="G1050" s="20" t="str">
        <f>HYPERLINK("https://semena-nn.ru/catalog/35/1299612","Фото")</f>
        <v>Фото</v>
      </c>
      <c r="H1050" s="15">
        <v>33</v>
      </c>
      <c r="I1050" s="27"/>
      <c r="J1050" s="13">
        <f>H1050*I1050</f>
        <v>0</v>
      </c>
    </row>
    <row r="1051" spans="1:10" ht="12" customHeight="1">
      <c r="A1051" s="13" t="s">
        <v>8533</v>
      </c>
      <c r="B1051" s="13" t="s">
        <v>8534</v>
      </c>
      <c r="C1051" s="13" t="s">
        <v>130</v>
      </c>
      <c r="D1051" s="13" t="s">
        <v>8498</v>
      </c>
      <c r="E1051" s="13" t="s">
        <v>93</v>
      </c>
      <c r="F1051" s="13" t="s">
        <v>8535</v>
      </c>
      <c r="G1051" s="20" t="str">
        <f>HYPERLINK("https://semena-nn.ru/catalog/35/105694","Фото")</f>
        <v>Фото</v>
      </c>
      <c r="H1051" s="18">
        <v>25.1</v>
      </c>
      <c r="I1051" s="27"/>
      <c r="J1051" s="13">
        <f>H1051*I1051</f>
        <v>0</v>
      </c>
    </row>
    <row r="1052" spans="1:10" ht="12" customHeight="1">
      <c r="A1052" s="13" t="s">
        <v>8030</v>
      </c>
      <c r="B1052" s="13" t="s">
        <v>8031</v>
      </c>
      <c r="C1052" s="13" t="s">
        <v>130</v>
      </c>
      <c r="D1052" s="13" t="s">
        <v>7728</v>
      </c>
      <c r="E1052" s="13" t="s">
        <v>93</v>
      </c>
      <c r="F1052" s="17" t="s">
        <v>8032</v>
      </c>
      <c r="G1052" s="20" t="str">
        <f>HYPERLINK("https://semena-nn.ru/catalog/35/1314542","Фото")</f>
        <v>Фото</v>
      </c>
      <c r="H1052" s="18">
        <v>27.2</v>
      </c>
      <c r="I1052" s="27"/>
      <c r="J1052" s="13">
        <f>H1052*I1052</f>
        <v>0</v>
      </c>
    </row>
    <row r="1053" spans="1:10" ht="12" customHeight="1">
      <c r="A1053" s="13" t="s">
        <v>338</v>
      </c>
      <c r="B1053" s="13" t="s">
        <v>339</v>
      </c>
      <c r="C1053" s="13" t="s">
        <v>130</v>
      </c>
      <c r="D1053" s="13" t="s">
        <v>28</v>
      </c>
      <c r="E1053" s="13" t="s">
        <v>93</v>
      </c>
      <c r="F1053" s="13" t="s">
        <v>340</v>
      </c>
      <c r="G1053" s="20" t="str">
        <f>HYPERLINK("https://semena-nn.ru/catalog/35/999000011705","Фото")</f>
        <v>Фото</v>
      </c>
      <c r="H1053" s="19">
        <v>34.909999999999997</v>
      </c>
      <c r="I1053" s="27"/>
      <c r="J1053" s="13">
        <f>H1053*I1053</f>
        <v>0</v>
      </c>
    </row>
    <row r="1054" spans="1:10" ht="12" customHeight="1">
      <c r="A1054" s="13" t="s">
        <v>8373</v>
      </c>
      <c r="B1054" s="13" t="s">
        <v>8374</v>
      </c>
      <c r="C1054" s="13" t="s">
        <v>130</v>
      </c>
      <c r="D1054" s="13" t="s">
        <v>8317</v>
      </c>
      <c r="E1054" s="13" t="s">
        <v>93</v>
      </c>
      <c r="F1054" s="13" t="s">
        <v>8375</v>
      </c>
      <c r="G1054" s="20" t="str">
        <f>HYPERLINK("https://semena-nn.ru/catalog/35/1303100","Фото")</f>
        <v>Фото</v>
      </c>
      <c r="H1054" s="18">
        <v>159.9</v>
      </c>
      <c r="I1054" s="27"/>
      <c r="J1054" s="13">
        <f>H1054*I1054</f>
        <v>0</v>
      </c>
    </row>
    <row r="1055" spans="1:10" ht="12" customHeight="1">
      <c r="A1055" s="13" t="s">
        <v>8033</v>
      </c>
      <c r="B1055" s="13" t="s">
        <v>8034</v>
      </c>
      <c r="C1055" s="13" t="s">
        <v>130</v>
      </c>
      <c r="D1055" s="13" t="s">
        <v>7728</v>
      </c>
      <c r="E1055" s="13" t="s">
        <v>93</v>
      </c>
      <c r="F1055" s="13" t="s">
        <v>8035</v>
      </c>
      <c r="G1055" s="20" t="str">
        <f>HYPERLINK("http://semena-nn.ru/catalog/35/96527","Фото")</f>
        <v>Фото</v>
      </c>
      <c r="H1055" s="19">
        <v>27.95</v>
      </c>
      <c r="I1055" s="27"/>
      <c r="J1055" s="13">
        <f>H1055*I1055</f>
        <v>0</v>
      </c>
    </row>
    <row r="1056" spans="1:10" ht="12" customHeight="1">
      <c r="A1056" s="13" t="s">
        <v>8376</v>
      </c>
      <c r="B1056" s="13" t="s">
        <v>8377</v>
      </c>
      <c r="C1056" s="13" t="s">
        <v>130</v>
      </c>
      <c r="D1056" s="13" t="s">
        <v>8317</v>
      </c>
      <c r="E1056" s="13" t="s">
        <v>93</v>
      </c>
      <c r="F1056" s="13" t="s">
        <v>8378</v>
      </c>
      <c r="G1056" s="20" t="str">
        <f>HYPERLINK("https://semena-nn.ru/catalog/35/92545","Фото")</f>
        <v>Фото</v>
      </c>
      <c r="H1056" s="19">
        <v>66.150000000000006</v>
      </c>
      <c r="I1056" s="27"/>
      <c r="J1056" s="13">
        <f>H1056*I1056</f>
        <v>0</v>
      </c>
    </row>
    <row r="1057" spans="1:10" ht="12" customHeight="1">
      <c r="A1057" s="13" t="s">
        <v>6507</v>
      </c>
      <c r="B1057" s="13" t="s">
        <v>6508</v>
      </c>
      <c r="C1057" s="13" t="s">
        <v>130</v>
      </c>
      <c r="D1057" s="13" t="s">
        <v>87</v>
      </c>
      <c r="E1057" s="13" t="s">
        <v>93</v>
      </c>
      <c r="F1057" s="13" t="s">
        <v>6509</v>
      </c>
      <c r="G1057" s="20" t="str">
        <f>HYPERLINK("http://semena-nn.ru/catalog/35/1287942","Фото")</f>
        <v>Фото</v>
      </c>
      <c r="H1057" s="18">
        <v>26.4</v>
      </c>
      <c r="I1057" s="27"/>
      <c r="J1057" s="13">
        <f>H1057*I1057</f>
        <v>0</v>
      </c>
    </row>
    <row r="1058" spans="1:10" ht="12" customHeight="1">
      <c r="A1058" s="13" t="s">
        <v>8379</v>
      </c>
      <c r="B1058" s="13" t="s">
        <v>8380</v>
      </c>
      <c r="C1058" s="13" t="s">
        <v>130</v>
      </c>
      <c r="D1058" s="13" t="s">
        <v>8317</v>
      </c>
      <c r="E1058" s="13" t="s">
        <v>93</v>
      </c>
      <c r="F1058" s="13" t="s">
        <v>8381</v>
      </c>
      <c r="G1058" s="20" t="str">
        <f>HYPERLINK("https://semena-nn.ru/catalog/35/1298421","Фото")</f>
        <v>Фото</v>
      </c>
      <c r="H1058" s="18">
        <v>159.9</v>
      </c>
      <c r="I1058" s="27"/>
      <c r="J1058" s="13">
        <f>H1058*I1058</f>
        <v>0</v>
      </c>
    </row>
    <row r="1059" spans="1:10" ht="12" customHeight="1">
      <c r="A1059" s="13" t="s">
        <v>5902</v>
      </c>
      <c r="B1059" s="13" t="s">
        <v>5903</v>
      </c>
      <c r="C1059" s="13" t="s">
        <v>130</v>
      </c>
      <c r="D1059" s="13" t="s">
        <v>5834</v>
      </c>
      <c r="E1059" s="13" t="s">
        <v>93</v>
      </c>
      <c r="F1059" s="13" t="s">
        <v>5904</v>
      </c>
      <c r="G1059" s="20" t="str">
        <f>HYPERLINK("https://semena-nn.ru/catalog/35/888000001549","Фото")</f>
        <v>Фото</v>
      </c>
      <c r="H1059" s="18">
        <v>52.4</v>
      </c>
      <c r="I1059" s="27"/>
      <c r="J1059" s="13">
        <f>H1059*I1059</f>
        <v>0</v>
      </c>
    </row>
    <row r="1060" spans="1:10" ht="12" customHeight="1">
      <c r="A1060" s="13" t="s">
        <v>341</v>
      </c>
      <c r="B1060" s="13" t="s">
        <v>342</v>
      </c>
      <c r="C1060" s="13" t="s">
        <v>130</v>
      </c>
      <c r="D1060" s="13" t="s">
        <v>28</v>
      </c>
      <c r="E1060" s="13" t="s">
        <v>93</v>
      </c>
      <c r="F1060" s="13" t="s">
        <v>343</v>
      </c>
      <c r="G1060" s="20" t="str">
        <f>HYPERLINK("https://semena-nn.ru/catalog/35/999000009713","Фото")</f>
        <v>Фото</v>
      </c>
      <c r="H1060" s="19">
        <v>21.63</v>
      </c>
      <c r="I1060" s="27"/>
      <c r="J1060" s="13">
        <f>H1060*I1060</f>
        <v>0</v>
      </c>
    </row>
    <row r="1061" spans="1:10" ht="12" customHeight="1">
      <c r="A1061" s="13" t="s">
        <v>1339</v>
      </c>
      <c r="B1061" s="13" t="s">
        <v>1340</v>
      </c>
      <c r="C1061" s="13" t="s">
        <v>130</v>
      </c>
      <c r="D1061" s="13" t="s">
        <v>697</v>
      </c>
      <c r="E1061" s="13" t="s">
        <v>93</v>
      </c>
      <c r="F1061" s="13" t="s">
        <v>1341</v>
      </c>
      <c r="G1061" s="20" t="str">
        <f>HYPERLINK("https://semena-nn.ru/catalog/35/888000000271","Фото")</f>
        <v>Фото</v>
      </c>
      <c r="H1061" s="19">
        <v>43.25</v>
      </c>
      <c r="I1061" s="27"/>
      <c r="J1061" s="13">
        <f>H1061*I1061</f>
        <v>0</v>
      </c>
    </row>
    <row r="1062" spans="1:10" ht="12" customHeight="1">
      <c r="A1062" s="13" t="s">
        <v>3938</v>
      </c>
      <c r="B1062" s="13" t="s">
        <v>3939</v>
      </c>
      <c r="C1062" s="13" t="s">
        <v>130</v>
      </c>
      <c r="D1062" s="13" t="s">
        <v>3475</v>
      </c>
      <c r="E1062" s="13" t="s">
        <v>93</v>
      </c>
      <c r="F1062" s="13" t="s">
        <v>3940</v>
      </c>
      <c r="G1062" s="20" t="str">
        <f>HYPERLINK("https://semena-nn.ru/catalog/35/999000019898","Фото")</f>
        <v>Фото</v>
      </c>
      <c r="H1062" s="18">
        <v>64.7</v>
      </c>
      <c r="I1062" s="27"/>
      <c r="J1062" s="13">
        <f>H1062*I1062</f>
        <v>0</v>
      </c>
    </row>
    <row r="1063" spans="1:10" ht="12" customHeight="1">
      <c r="A1063" s="13" t="s">
        <v>3941</v>
      </c>
      <c r="B1063" s="13" t="s">
        <v>3942</v>
      </c>
      <c r="C1063" s="13" t="s">
        <v>130</v>
      </c>
      <c r="D1063" s="13" t="s">
        <v>3475</v>
      </c>
      <c r="E1063" s="13" t="s">
        <v>93</v>
      </c>
      <c r="F1063" s="13" t="s">
        <v>3943</v>
      </c>
      <c r="G1063" s="20" t="str">
        <f>HYPERLINK("https://semena-nn.ru/catalog/35/1307094","Фото")</f>
        <v>Фото</v>
      </c>
      <c r="H1063" s="18">
        <v>64.7</v>
      </c>
      <c r="I1063" s="27"/>
      <c r="J1063" s="13">
        <f>H1063*I1063</f>
        <v>0</v>
      </c>
    </row>
    <row r="1064" spans="1:10" ht="12" customHeight="1">
      <c r="A1064" s="13" t="s">
        <v>3944</v>
      </c>
      <c r="B1064" s="13" t="s">
        <v>3945</v>
      </c>
      <c r="C1064" s="13" t="s">
        <v>130</v>
      </c>
      <c r="D1064" s="13" t="s">
        <v>3475</v>
      </c>
      <c r="E1064" s="13" t="s">
        <v>93</v>
      </c>
      <c r="F1064" s="13" t="s">
        <v>3946</v>
      </c>
      <c r="G1064" s="20" t="str">
        <f>HYPERLINK("http://semena-nn.ru/catalog/35/102361","Фото")</f>
        <v>Фото</v>
      </c>
      <c r="H1064" s="18">
        <v>64.7</v>
      </c>
      <c r="I1064" s="27"/>
      <c r="J1064" s="13">
        <f>H1064*I1064</f>
        <v>0</v>
      </c>
    </row>
    <row r="1065" spans="1:10" ht="12" customHeight="1">
      <c r="A1065" s="13" t="s">
        <v>3947</v>
      </c>
      <c r="B1065" s="13" t="s">
        <v>3948</v>
      </c>
      <c r="C1065" s="13" t="s">
        <v>130</v>
      </c>
      <c r="D1065" s="13" t="s">
        <v>3475</v>
      </c>
      <c r="E1065" s="13" t="s">
        <v>93</v>
      </c>
      <c r="F1065" s="13" t="s">
        <v>3949</v>
      </c>
      <c r="G1065" s="20" t="str">
        <f>HYPERLINK("https://semena-nn.ru/catalog/35/999000006567","Фото")</f>
        <v>Фото</v>
      </c>
      <c r="H1065" s="18">
        <v>64.7</v>
      </c>
      <c r="I1065" s="27"/>
      <c r="J1065" s="13">
        <f>H1065*I1065</f>
        <v>0</v>
      </c>
    </row>
    <row r="1066" spans="1:10" ht="12" customHeight="1">
      <c r="A1066" s="13" t="s">
        <v>2871</v>
      </c>
      <c r="B1066" s="13" t="s">
        <v>2872</v>
      </c>
      <c r="C1066" s="13" t="s">
        <v>130</v>
      </c>
      <c r="D1066" s="13" t="s">
        <v>697</v>
      </c>
      <c r="E1066" s="13" t="s">
        <v>2636</v>
      </c>
      <c r="F1066" s="13" t="s">
        <v>2873</v>
      </c>
      <c r="G1066" s="20" t="str">
        <f>HYPERLINK("http://semena-nn.ru/catalog/35/94725","Фото")</f>
        <v>Фото</v>
      </c>
      <c r="H1066" s="18">
        <v>8.9</v>
      </c>
      <c r="I1066" s="27"/>
      <c r="J1066" s="13">
        <f>H1066*I1066</f>
        <v>0</v>
      </c>
    </row>
    <row r="1067" spans="1:10" ht="12" customHeight="1">
      <c r="A1067" s="13" t="s">
        <v>2874</v>
      </c>
      <c r="B1067" s="13" t="s">
        <v>2875</v>
      </c>
      <c r="C1067" s="13" t="s">
        <v>130</v>
      </c>
      <c r="D1067" s="13" t="s">
        <v>697</v>
      </c>
      <c r="E1067" s="13" t="s">
        <v>2636</v>
      </c>
      <c r="F1067" s="13" t="s">
        <v>2876</v>
      </c>
      <c r="G1067" s="20" t="str">
        <f>HYPERLINK("https://semena-nn.ru/catalog/35/888000000854","Фото")</f>
        <v>Фото</v>
      </c>
      <c r="H1067" s="19">
        <v>7.85</v>
      </c>
      <c r="I1067" s="27"/>
      <c r="J1067" s="13">
        <f>H1067*I1067</f>
        <v>0</v>
      </c>
    </row>
    <row r="1068" spans="1:10" ht="12" customHeight="1">
      <c r="A1068" s="13" t="s">
        <v>8036</v>
      </c>
      <c r="B1068" s="13" t="s">
        <v>8037</v>
      </c>
      <c r="C1068" s="13" t="s">
        <v>130</v>
      </c>
      <c r="D1068" s="13" t="s">
        <v>7728</v>
      </c>
      <c r="E1068" s="13" t="s">
        <v>93</v>
      </c>
      <c r="F1068" s="13" t="s">
        <v>8038</v>
      </c>
      <c r="G1068" s="20" t="str">
        <f>HYPERLINK("https://semena-nn.ru/catalog/35/95998","Фото")</f>
        <v>Фото</v>
      </c>
      <c r="H1068" s="19">
        <v>21.65</v>
      </c>
      <c r="I1068" s="27"/>
      <c r="J1068" s="13">
        <f>H1068*I1068</f>
        <v>0</v>
      </c>
    </row>
    <row r="1069" spans="1:10" ht="12" customHeight="1">
      <c r="A1069" s="13" t="s">
        <v>344</v>
      </c>
      <c r="B1069" s="13" t="s">
        <v>345</v>
      </c>
      <c r="C1069" s="13" t="s">
        <v>130</v>
      </c>
      <c r="D1069" s="13" t="s">
        <v>28</v>
      </c>
      <c r="E1069" s="13" t="s">
        <v>93</v>
      </c>
      <c r="F1069" s="13" t="s">
        <v>346</v>
      </c>
      <c r="G1069" s="20" t="str">
        <f>HYPERLINK("https://semena-nn.ru/catalog/35/999000019855","Фото")</f>
        <v>Фото</v>
      </c>
      <c r="H1069" s="19">
        <v>45.78</v>
      </c>
      <c r="I1069" s="27"/>
      <c r="J1069" s="13">
        <f>H1069*I1069</f>
        <v>0</v>
      </c>
    </row>
    <row r="1070" spans="1:10" ht="12" customHeight="1">
      <c r="A1070" s="13" t="s">
        <v>3950</v>
      </c>
      <c r="B1070" s="13" t="s">
        <v>3951</v>
      </c>
      <c r="C1070" s="13" t="s">
        <v>130</v>
      </c>
      <c r="D1070" s="13" t="s">
        <v>3475</v>
      </c>
      <c r="E1070" s="13" t="s">
        <v>93</v>
      </c>
      <c r="F1070" s="13" t="s">
        <v>3952</v>
      </c>
      <c r="G1070" s="20" t="str">
        <f>HYPERLINK("https://semena-nn.ru/catalog/35/1285976","Фото")</f>
        <v>Фото</v>
      </c>
      <c r="H1070" s="19">
        <v>39.979999999999997</v>
      </c>
      <c r="I1070" s="27"/>
      <c r="J1070" s="13">
        <f>H1070*I1070</f>
        <v>0</v>
      </c>
    </row>
    <row r="1071" spans="1:10" ht="12" customHeight="1">
      <c r="A1071" s="13" t="s">
        <v>7292</v>
      </c>
      <c r="B1071" s="13" t="s">
        <v>7293</v>
      </c>
      <c r="C1071" s="13" t="s">
        <v>130</v>
      </c>
      <c r="D1071" s="13" t="s">
        <v>7148</v>
      </c>
      <c r="E1071" s="13" t="s">
        <v>93</v>
      </c>
      <c r="F1071" s="13" t="s">
        <v>7294</v>
      </c>
      <c r="G1071" s="20" t="str">
        <f>HYPERLINK("https://semena-nn.ru/catalog/35/888000001641","Фото")</f>
        <v>Фото</v>
      </c>
      <c r="H1071" s="18">
        <v>80.599999999999994</v>
      </c>
      <c r="I1071" s="27"/>
      <c r="J1071" s="13">
        <f>H1071*I1071</f>
        <v>0</v>
      </c>
    </row>
    <row r="1072" spans="1:10" ht="12" customHeight="1">
      <c r="A1072" s="13" t="s">
        <v>7295</v>
      </c>
      <c r="B1072" s="13" t="s">
        <v>7296</v>
      </c>
      <c r="C1072" s="13" t="s">
        <v>130</v>
      </c>
      <c r="D1072" s="13" t="s">
        <v>7148</v>
      </c>
      <c r="E1072" s="13" t="s">
        <v>93</v>
      </c>
      <c r="F1072" s="13" t="s">
        <v>7297</v>
      </c>
      <c r="G1072" s="20" t="str">
        <f>HYPERLINK("https://semena-nn.ru/catalog/35/888000001642","Фото")</f>
        <v>Фото</v>
      </c>
      <c r="H1072" s="18">
        <v>80.599999999999994</v>
      </c>
      <c r="I1072" s="27"/>
      <c r="J1072" s="13">
        <f>H1072*I1072</f>
        <v>0</v>
      </c>
    </row>
    <row r="1073" spans="1:10" ht="12" customHeight="1">
      <c r="A1073" s="13" t="s">
        <v>347</v>
      </c>
      <c r="B1073" s="13" t="s">
        <v>348</v>
      </c>
      <c r="C1073" s="13" t="s">
        <v>130</v>
      </c>
      <c r="D1073" s="13" t="s">
        <v>28</v>
      </c>
      <c r="E1073" s="13" t="s">
        <v>93</v>
      </c>
      <c r="F1073" s="13" t="s">
        <v>349</v>
      </c>
      <c r="G1073" s="20" t="str">
        <f>HYPERLINK("https://semena-nn.ru/catalog/35/999000020334","Фото")</f>
        <v>Фото</v>
      </c>
      <c r="H1073" s="19">
        <v>42.21</v>
      </c>
      <c r="I1073" s="27"/>
      <c r="J1073" s="13">
        <f>H1073*I1073</f>
        <v>0</v>
      </c>
    </row>
    <row r="1074" spans="1:10" ht="12" customHeight="1">
      <c r="A1074" s="13" t="s">
        <v>8854</v>
      </c>
      <c r="B1074" s="13" t="s">
        <v>8855</v>
      </c>
      <c r="C1074" s="13" t="s">
        <v>130</v>
      </c>
      <c r="D1074" s="13" t="s">
        <v>8717</v>
      </c>
      <c r="E1074" s="13" t="s">
        <v>93</v>
      </c>
      <c r="F1074" s="13" t="s">
        <v>8856</v>
      </c>
      <c r="G1074" s="20" t="str">
        <f>HYPERLINK("https://semena-nn.ru/catalog/35/1309703","Фото")</f>
        <v>Фото</v>
      </c>
      <c r="H1074" s="15">
        <v>19</v>
      </c>
      <c r="I1074" s="27"/>
      <c r="J1074" s="13">
        <f>H1074*I1074</f>
        <v>0</v>
      </c>
    </row>
    <row r="1075" spans="1:10" ht="12" customHeight="1">
      <c r="A1075" s="13" t="s">
        <v>6510</v>
      </c>
      <c r="B1075" s="13" t="s">
        <v>6511</v>
      </c>
      <c r="C1075" s="13" t="s">
        <v>130</v>
      </c>
      <c r="D1075" s="13" t="s">
        <v>87</v>
      </c>
      <c r="E1075" s="13" t="s">
        <v>93</v>
      </c>
      <c r="F1075" s="13" t="s">
        <v>6512</v>
      </c>
      <c r="G1075" s="20" t="str">
        <f>HYPERLINK("https://semena-nn.ru/catalog/35/1312021","Фото")</f>
        <v>Фото</v>
      </c>
      <c r="H1075" s="18">
        <v>18.5</v>
      </c>
      <c r="I1075" s="27"/>
      <c r="J1075" s="13">
        <f>H1075*I1075</f>
        <v>0</v>
      </c>
    </row>
    <row r="1076" spans="1:10" ht="12" customHeight="1">
      <c r="A1076" s="13" t="s">
        <v>7014</v>
      </c>
      <c r="B1076" s="13" t="s">
        <v>7015</v>
      </c>
      <c r="C1076" s="13" t="s">
        <v>130</v>
      </c>
      <c r="D1076" s="13" t="s">
        <v>6927</v>
      </c>
      <c r="E1076" s="13" t="s">
        <v>93</v>
      </c>
      <c r="F1076" s="13" t="s">
        <v>7016</v>
      </c>
      <c r="G1076" s="20" t="str">
        <f>HYPERLINK("https://semena-nn.ru/catalog/35/999000013283","Фото")</f>
        <v>Фото</v>
      </c>
      <c r="H1076" s="18">
        <v>40.700000000000003</v>
      </c>
      <c r="I1076" s="27"/>
      <c r="J1076" s="13">
        <f>H1076*I1076</f>
        <v>0</v>
      </c>
    </row>
    <row r="1077" spans="1:10" ht="12" customHeight="1">
      <c r="A1077" s="13" t="s">
        <v>3953</v>
      </c>
      <c r="B1077" s="13" t="s">
        <v>3954</v>
      </c>
      <c r="C1077" s="13" t="s">
        <v>130</v>
      </c>
      <c r="D1077" s="13" t="s">
        <v>3475</v>
      </c>
      <c r="E1077" s="13" t="s">
        <v>93</v>
      </c>
      <c r="F1077" s="13" t="s">
        <v>3955</v>
      </c>
      <c r="G1077" s="20" t="str">
        <f>HYPERLINK("https://semena-nn.ru/catalog/35/999000009824","Фото")</f>
        <v>Фото</v>
      </c>
      <c r="H1077" s="18">
        <v>30.6</v>
      </c>
      <c r="I1077" s="27"/>
      <c r="J1077" s="13">
        <f>H1077*I1077</f>
        <v>0</v>
      </c>
    </row>
    <row r="1078" spans="1:10" ht="12" customHeight="1">
      <c r="A1078" s="13" t="s">
        <v>8039</v>
      </c>
      <c r="B1078" s="13" t="s">
        <v>8040</v>
      </c>
      <c r="C1078" s="13" t="s">
        <v>130</v>
      </c>
      <c r="D1078" s="13" t="s">
        <v>7728</v>
      </c>
      <c r="E1078" s="13" t="s">
        <v>93</v>
      </c>
      <c r="F1078" s="13" t="s">
        <v>8041</v>
      </c>
      <c r="G1078" s="20" t="str">
        <f>HYPERLINK("https://semena-nn.ru/catalog/35/1119178","Фото")</f>
        <v>Фото</v>
      </c>
      <c r="H1078" s="19">
        <v>27.95</v>
      </c>
      <c r="I1078" s="27"/>
      <c r="J1078" s="13">
        <f>H1078*I1078</f>
        <v>0</v>
      </c>
    </row>
    <row r="1079" spans="1:10" ht="12" customHeight="1">
      <c r="A1079" s="13" t="s">
        <v>7017</v>
      </c>
      <c r="B1079" s="13" t="s">
        <v>7018</v>
      </c>
      <c r="C1079" s="13" t="s">
        <v>130</v>
      </c>
      <c r="D1079" s="13" t="s">
        <v>6927</v>
      </c>
      <c r="E1079" s="13" t="s">
        <v>93</v>
      </c>
      <c r="F1079" s="13" t="s">
        <v>7019</v>
      </c>
      <c r="G1079" s="20" t="str">
        <f>HYPERLINK("https://semena-nn.ru/catalog/35/999000011667","Фото")</f>
        <v>Фото</v>
      </c>
      <c r="H1079" s="19">
        <v>47.25</v>
      </c>
      <c r="I1079" s="27"/>
      <c r="J1079" s="13">
        <f>H1079*I1079</f>
        <v>0</v>
      </c>
    </row>
    <row r="1080" spans="1:10" ht="12" customHeight="1">
      <c r="A1080" s="13" t="s">
        <v>8042</v>
      </c>
      <c r="B1080" s="13" t="s">
        <v>8043</v>
      </c>
      <c r="C1080" s="13" t="s">
        <v>130</v>
      </c>
      <c r="D1080" s="13" t="s">
        <v>7728</v>
      </c>
      <c r="E1080" s="13" t="s">
        <v>93</v>
      </c>
      <c r="F1080" s="13" t="s">
        <v>8044</v>
      </c>
      <c r="G1080" s="20" t="str">
        <f>HYPERLINK("http://semena-nn.ru/catalog/35/101970","Фото")</f>
        <v>Фото</v>
      </c>
      <c r="H1080" s="19">
        <v>22.15</v>
      </c>
      <c r="I1080" s="27"/>
      <c r="J1080" s="13">
        <f>H1080*I1080</f>
        <v>0</v>
      </c>
    </row>
    <row r="1081" spans="1:10" ht="12" customHeight="1">
      <c r="A1081" s="13" t="s">
        <v>2877</v>
      </c>
      <c r="B1081" s="13" t="s">
        <v>2878</v>
      </c>
      <c r="C1081" s="13" t="s">
        <v>130</v>
      </c>
      <c r="D1081" s="13" t="s">
        <v>697</v>
      </c>
      <c r="E1081" s="13" t="s">
        <v>2636</v>
      </c>
      <c r="F1081" s="13" t="s">
        <v>2879</v>
      </c>
      <c r="G1081" s="20" t="str">
        <f>HYPERLINK("https://semena-nn.ru/catalog/35/1283003","Фото")</f>
        <v>Фото</v>
      </c>
      <c r="H1081" s="19">
        <v>7.85</v>
      </c>
      <c r="I1081" s="27"/>
      <c r="J1081" s="13">
        <f>H1081*I1081</f>
        <v>0</v>
      </c>
    </row>
    <row r="1082" spans="1:10" ht="12" customHeight="1">
      <c r="A1082" s="13" t="s">
        <v>3263</v>
      </c>
      <c r="B1082" s="13" t="s">
        <v>3264</v>
      </c>
      <c r="C1082" s="13" t="s">
        <v>130</v>
      </c>
      <c r="D1082" s="13" t="s">
        <v>697</v>
      </c>
      <c r="E1082" s="13" t="s">
        <v>3064</v>
      </c>
      <c r="F1082" s="13" t="s">
        <v>3265</v>
      </c>
      <c r="G1082" s="20" t="str">
        <f>HYPERLINK("http://semena-nn.ru/catalog/35/1298447","Фото")</f>
        <v>Фото</v>
      </c>
      <c r="H1082" s="19">
        <v>12.05</v>
      </c>
      <c r="I1082" s="27"/>
      <c r="J1082" s="13">
        <f>H1082*I1082</f>
        <v>0</v>
      </c>
    </row>
    <row r="1083" spans="1:10" ht="12" customHeight="1">
      <c r="A1083" s="13" t="s">
        <v>8382</v>
      </c>
      <c r="B1083" s="13" t="s">
        <v>8383</v>
      </c>
      <c r="C1083" s="13" t="s">
        <v>130</v>
      </c>
      <c r="D1083" s="13" t="s">
        <v>8317</v>
      </c>
      <c r="E1083" s="13" t="s">
        <v>93</v>
      </c>
      <c r="F1083" s="13" t="s">
        <v>8384</v>
      </c>
      <c r="G1083" s="20" t="str">
        <f>HYPERLINK("https://semena-nn.ru/catalog/35/6035","Фото")</f>
        <v>Фото</v>
      </c>
      <c r="H1083" s="18">
        <v>159.9</v>
      </c>
      <c r="I1083" s="27"/>
      <c r="J1083" s="13">
        <f>H1083*I1083</f>
        <v>0</v>
      </c>
    </row>
    <row r="1084" spans="1:10" ht="12" customHeight="1">
      <c r="A1084" s="13" t="s">
        <v>7298</v>
      </c>
      <c r="B1084" s="13" t="s">
        <v>7299</v>
      </c>
      <c r="C1084" s="13" t="s">
        <v>130</v>
      </c>
      <c r="D1084" s="13" t="s">
        <v>7148</v>
      </c>
      <c r="E1084" s="13" t="s">
        <v>93</v>
      </c>
      <c r="F1084" s="13" t="s">
        <v>7300</v>
      </c>
      <c r="G1084" s="20" t="str">
        <f>HYPERLINK("http://semena-nn.ru/catalog/35/1314213","Фото")</f>
        <v>Фото</v>
      </c>
      <c r="H1084" s="18">
        <v>60.5</v>
      </c>
      <c r="I1084" s="27"/>
      <c r="J1084" s="13">
        <f>H1084*I1084</f>
        <v>0</v>
      </c>
    </row>
    <row r="1085" spans="1:10" ht="12" customHeight="1">
      <c r="A1085" s="13" t="s">
        <v>1342</v>
      </c>
      <c r="B1085" s="13" t="s">
        <v>1343</v>
      </c>
      <c r="C1085" s="13" t="s">
        <v>130</v>
      </c>
      <c r="D1085" s="13" t="s">
        <v>697</v>
      </c>
      <c r="E1085" s="13" t="s">
        <v>93</v>
      </c>
      <c r="F1085" s="13" t="s">
        <v>1344</v>
      </c>
      <c r="G1085" s="20" t="str">
        <f>HYPERLINK("https://semena-nn.ru/catalog/35/999000008048","Фото")</f>
        <v>Фото</v>
      </c>
      <c r="H1085" s="19">
        <v>43.31</v>
      </c>
      <c r="I1085" s="27"/>
      <c r="J1085" s="13">
        <f>H1085*I1085</f>
        <v>0</v>
      </c>
    </row>
    <row r="1086" spans="1:10" ht="12" customHeight="1">
      <c r="A1086" s="13" t="s">
        <v>3956</v>
      </c>
      <c r="B1086" s="13" t="s">
        <v>3957</v>
      </c>
      <c r="C1086" s="13" t="s">
        <v>130</v>
      </c>
      <c r="D1086" s="13" t="s">
        <v>3475</v>
      </c>
      <c r="E1086" s="13" t="s">
        <v>93</v>
      </c>
      <c r="F1086" s="13" t="s">
        <v>3958</v>
      </c>
      <c r="G1086" s="20" t="str">
        <f>HYPERLINK("https://semena-nn.ru/catalog/35/999000009604","Фото")</f>
        <v>Фото</v>
      </c>
      <c r="H1086" s="19">
        <v>31.75</v>
      </c>
      <c r="I1086" s="27"/>
      <c r="J1086" s="13">
        <f>H1086*I1086</f>
        <v>0</v>
      </c>
    </row>
    <row r="1087" spans="1:10" ht="12" customHeight="1">
      <c r="A1087" s="13" t="s">
        <v>3959</v>
      </c>
      <c r="B1087" s="13" t="s">
        <v>3960</v>
      </c>
      <c r="C1087" s="13" t="s">
        <v>130</v>
      </c>
      <c r="D1087" s="13" t="s">
        <v>3475</v>
      </c>
      <c r="E1087" s="13" t="s">
        <v>93</v>
      </c>
      <c r="F1087" s="13" t="s">
        <v>3961</v>
      </c>
      <c r="G1087" s="20" t="str">
        <f>HYPERLINK("https://semena-nn.ru/catalog/35/999000009606","Фото")</f>
        <v>Фото</v>
      </c>
      <c r="H1087" s="19">
        <v>31.75</v>
      </c>
      <c r="I1087" s="27"/>
      <c r="J1087" s="13">
        <f>H1087*I1087</f>
        <v>0</v>
      </c>
    </row>
    <row r="1088" spans="1:10" ht="12" customHeight="1">
      <c r="A1088" s="13" t="s">
        <v>8857</v>
      </c>
      <c r="B1088" s="13" t="s">
        <v>8858</v>
      </c>
      <c r="C1088" s="13" t="s">
        <v>130</v>
      </c>
      <c r="D1088" s="13" t="s">
        <v>8717</v>
      </c>
      <c r="E1088" s="13" t="s">
        <v>93</v>
      </c>
      <c r="F1088" s="17" t="s">
        <v>8859</v>
      </c>
      <c r="G1088" s="20" t="str">
        <f>HYPERLINK("http://semena-nn.ru/catalog/35/999000005608","Фото")</f>
        <v>Фото</v>
      </c>
      <c r="H1088" s="18">
        <v>65.599999999999994</v>
      </c>
      <c r="I1088" s="27"/>
      <c r="J1088" s="13">
        <f>H1088*I1088</f>
        <v>0</v>
      </c>
    </row>
    <row r="1089" spans="1:10" ht="12" customHeight="1">
      <c r="A1089" s="13" t="s">
        <v>1345</v>
      </c>
      <c r="B1089" s="13" t="s">
        <v>1346</v>
      </c>
      <c r="C1089" s="13" t="s">
        <v>130</v>
      </c>
      <c r="D1089" s="13" t="s">
        <v>697</v>
      </c>
      <c r="E1089" s="13" t="s">
        <v>93</v>
      </c>
      <c r="F1089" s="13" t="s">
        <v>1347</v>
      </c>
      <c r="G1089" s="20" t="str">
        <f>HYPERLINK("https://semena-nn.ru/catalog/35/999000010999","Фото")</f>
        <v>Фото</v>
      </c>
      <c r="H1089" s="19">
        <v>42.21</v>
      </c>
      <c r="I1089" s="27"/>
      <c r="J1089" s="13">
        <f>H1089*I1089</f>
        <v>0</v>
      </c>
    </row>
    <row r="1090" spans="1:10" ht="12" customHeight="1">
      <c r="A1090" s="13" t="s">
        <v>7020</v>
      </c>
      <c r="B1090" s="13" t="s">
        <v>7021</v>
      </c>
      <c r="C1090" s="13" t="s">
        <v>130</v>
      </c>
      <c r="D1090" s="13" t="s">
        <v>6927</v>
      </c>
      <c r="E1090" s="13" t="s">
        <v>93</v>
      </c>
      <c r="F1090" s="17" t="s">
        <v>7022</v>
      </c>
      <c r="G1090" s="20" t="str">
        <f>HYPERLINK("https://semena-nn.ru/catalog/35/1310373","Фото")</f>
        <v>Фото</v>
      </c>
      <c r="H1090" s="18">
        <v>58.4</v>
      </c>
      <c r="I1090" s="27"/>
      <c r="J1090" s="13">
        <f>H1090*I1090</f>
        <v>0</v>
      </c>
    </row>
    <row r="1091" spans="1:10" ht="12" customHeight="1">
      <c r="A1091" s="13" t="s">
        <v>8045</v>
      </c>
      <c r="B1091" s="13" t="s">
        <v>8046</v>
      </c>
      <c r="C1091" s="13" t="s">
        <v>130</v>
      </c>
      <c r="D1091" s="13" t="s">
        <v>7728</v>
      </c>
      <c r="E1091" s="13" t="s">
        <v>93</v>
      </c>
      <c r="F1091" s="13" t="s">
        <v>8047</v>
      </c>
      <c r="G1091" s="20" t="str">
        <f>HYPERLINK("http://semena-nn.ru/catalog/35/1298345","Фото")</f>
        <v>Фото</v>
      </c>
      <c r="H1091" s="18">
        <v>56.4</v>
      </c>
      <c r="I1091" s="27"/>
      <c r="J1091" s="13">
        <f>H1091*I1091</f>
        <v>0</v>
      </c>
    </row>
    <row r="1092" spans="1:10" ht="12" customHeight="1">
      <c r="A1092" s="13" t="s">
        <v>3962</v>
      </c>
      <c r="B1092" s="13" t="s">
        <v>3963</v>
      </c>
      <c r="C1092" s="13" t="s">
        <v>130</v>
      </c>
      <c r="D1092" s="13" t="s">
        <v>3475</v>
      </c>
      <c r="E1092" s="13" t="s">
        <v>93</v>
      </c>
      <c r="F1092" s="13" t="s">
        <v>3964</v>
      </c>
      <c r="G1092" s="20" t="str">
        <f>HYPERLINK("https://semena-nn.ru/catalog/35/999000020021","Фото")</f>
        <v>Фото</v>
      </c>
      <c r="H1092" s="18">
        <v>70.5</v>
      </c>
      <c r="I1092" s="27"/>
      <c r="J1092" s="13">
        <f>H1092*I1092</f>
        <v>0</v>
      </c>
    </row>
    <row r="1093" spans="1:10" ht="12" customHeight="1">
      <c r="A1093" s="13" t="s">
        <v>8048</v>
      </c>
      <c r="B1093" s="13" t="s">
        <v>8049</v>
      </c>
      <c r="C1093" s="13" t="s">
        <v>130</v>
      </c>
      <c r="D1093" s="13" t="s">
        <v>7728</v>
      </c>
      <c r="E1093" s="13" t="s">
        <v>93</v>
      </c>
      <c r="F1093" s="13" t="s">
        <v>8050</v>
      </c>
      <c r="G1093" s="20" t="str">
        <f>HYPERLINK("http://semena-nn.ru/catalog/35/101975","Фото")</f>
        <v>Фото</v>
      </c>
      <c r="H1093" s="19">
        <v>21.65</v>
      </c>
      <c r="I1093" s="27"/>
      <c r="J1093" s="13">
        <f>H1093*I1093</f>
        <v>0</v>
      </c>
    </row>
    <row r="1094" spans="1:10" ht="12" customHeight="1">
      <c r="A1094" s="13" t="s">
        <v>8051</v>
      </c>
      <c r="B1094" s="13" t="s">
        <v>8052</v>
      </c>
      <c r="C1094" s="13" t="s">
        <v>130</v>
      </c>
      <c r="D1094" s="13" t="s">
        <v>7728</v>
      </c>
      <c r="E1094" s="13" t="s">
        <v>93</v>
      </c>
      <c r="F1094" s="13" t="s">
        <v>8053</v>
      </c>
      <c r="G1094" s="20" t="str">
        <f>HYPERLINK("http://semena-nn.ru/catalog/35/999000006356","Фото")</f>
        <v>Фото</v>
      </c>
      <c r="H1094" s="19">
        <v>21.65</v>
      </c>
      <c r="I1094" s="27"/>
      <c r="J1094" s="13">
        <f>H1094*I1094</f>
        <v>0</v>
      </c>
    </row>
    <row r="1095" spans="1:10" ht="12" customHeight="1">
      <c r="A1095" s="13" t="s">
        <v>7301</v>
      </c>
      <c r="B1095" s="13" t="s">
        <v>7302</v>
      </c>
      <c r="C1095" s="13" t="s">
        <v>130</v>
      </c>
      <c r="D1095" s="13" t="s">
        <v>7148</v>
      </c>
      <c r="E1095" s="13" t="s">
        <v>93</v>
      </c>
      <c r="F1095" s="13" t="s">
        <v>7303</v>
      </c>
      <c r="G1095" s="20" t="str">
        <f>HYPERLINK("https://semena-nn.ru/catalog/35/1313044","Фото")</f>
        <v>Фото</v>
      </c>
      <c r="H1095" s="18">
        <v>136.1</v>
      </c>
      <c r="I1095" s="27"/>
      <c r="J1095" s="13">
        <f>H1095*I1095</f>
        <v>0</v>
      </c>
    </row>
    <row r="1096" spans="1:10" ht="12" customHeight="1">
      <c r="A1096" s="13" t="s">
        <v>5905</v>
      </c>
      <c r="B1096" s="13" t="s">
        <v>5906</v>
      </c>
      <c r="C1096" s="13" t="s">
        <v>130</v>
      </c>
      <c r="D1096" s="13" t="s">
        <v>5834</v>
      </c>
      <c r="E1096" s="13" t="s">
        <v>93</v>
      </c>
      <c r="F1096" s="13" t="s">
        <v>5907</v>
      </c>
      <c r="G1096" s="20" t="str">
        <f>HYPERLINK("https://semena-nn.ru/catalog/35/888000001550","Фото")</f>
        <v>Фото</v>
      </c>
      <c r="H1096" s="19">
        <v>40.85</v>
      </c>
      <c r="I1096" s="27"/>
      <c r="J1096" s="13">
        <f>H1096*I1096</f>
        <v>0</v>
      </c>
    </row>
    <row r="1097" spans="1:10" ht="12" customHeight="1">
      <c r="A1097" s="13" t="s">
        <v>6513</v>
      </c>
      <c r="B1097" s="13" t="s">
        <v>6514</v>
      </c>
      <c r="C1097" s="13" t="s">
        <v>130</v>
      </c>
      <c r="D1097" s="13" t="s">
        <v>87</v>
      </c>
      <c r="E1097" s="13" t="s">
        <v>93</v>
      </c>
      <c r="F1097" s="13" t="s">
        <v>6515</v>
      </c>
      <c r="G1097" s="20" t="str">
        <f>HYPERLINK("https://semena-nn.ru/catalog/35/999000005829","Фото")</f>
        <v>Фото</v>
      </c>
      <c r="H1097" s="18">
        <v>18.5</v>
      </c>
      <c r="I1097" s="27"/>
      <c r="J1097" s="13">
        <f>H1097*I1097</f>
        <v>0</v>
      </c>
    </row>
    <row r="1098" spans="1:10" ht="12" customHeight="1">
      <c r="A1098" s="13" t="s">
        <v>8385</v>
      </c>
      <c r="B1098" s="13" t="s">
        <v>8386</v>
      </c>
      <c r="C1098" s="13" t="s">
        <v>130</v>
      </c>
      <c r="D1098" s="13" t="s">
        <v>8317</v>
      </c>
      <c r="E1098" s="13" t="s">
        <v>93</v>
      </c>
      <c r="F1098" s="13" t="s">
        <v>8387</v>
      </c>
      <c r="G1098" s="20" t="str">
        <f>HYPERLINK("https://semena-nn.ru/catalog/35/888000007556","Фото")</f>
        <v>Фото</v>
      </c>
      <c r="H1098" s="18">
        <v>159.9</v>
      </c>
      <c r="I1098" s="27"/>
      <c r="J1098" s="13">
        <f>H1098*I1098</f>
        <v>0</v>
      </c>
    </row>
    <row r="1099" spans="1:10" ht="12" customHeight="1">
      <c r="A1099" s="13" t="s">
        <v>1348</v>
      </c>
      <c r="B1099" s="13" t="s">
        <v>1349</v>
      </c>
      <c r="C1099" s="13" t="s">
        <v>130</v>
      </c>
      <c r="D1099" s="13" t="s">
        <v>697</v>
      </c>
      <c r="E1099" s="13" t="s">
        <v>93</v>
      </c>
      <c r="F1099" s="13" t="s">
        <v>1350</v>
      </c>
      <c r="G1099" s="20" t="str">
        <f>HYPERLINK("https://semena-nn.ru/catalog/35/1288677","Фото")</f>
        <v>Фото</v>
      </c>
      <c r="H1099" s="18">
        <v>38.5</v>
      </c>
      <c r="I1099" s="27"/>
      <c r="J1099" s="13">
        <f>H1099*I1099</f>
        <v>0</v>
      </c>
    </row>
    <row r="1100" spans="1:10" ht="12" customHeight="1">
      <c r="A1100" s="13" t="s">
        <v>7304</v>
      </c>
      <c r="B1100" s="13" t="s">
        <v>7305</v>
      </c>
      <c r="C1100" s="13" t="s">
        <v>130</v>
      </c>
      <c r="D1100" s="13" t="s">
        <v>7148</v>
      </c>
      <c r="E1100" s="13" t="s">
        <v>93</v>
      </c>
      <c r="F1100" s="13" t="s">
        <v>7306</v>
      </c>
      <c r="G1100" s="20" t="str">
        <f>HYPERLINK("https://semena-nn.ru/catalog/35/999000005866","Фото")</f>
        <v>Фото</v>
      </c>
      <c r="H1100" s="18">
        <v>161.30000000000001</v>
      </c>
      <c r="I1100" s="27"/>
      <c r="J1100" s="13">
        <f>H1100*I1100</f>
        <v>0</v>
      </c>
    </row>
    <row r="1101" spans="1:10" ht="12" customHeight="1">
      <c r="A1101" s="13" t="s">
        <v>5258</v>
      </c>
      <c r="B1101" s="13" t="s">
        <v>5259</v>
      </c>
      <c r="C1101" s="13" t="s">
        <v>130</v>
      </c>
      <c r="D1101" s="13" t="s">
        <v>5136</v>
      </c>
      <c r="E1101" s="13" t="s">
        <v>93</v>
      </c>
      <c r="F1101" s="13" t="s">
        <v>5260</v>
      </c>
      <c r="G1101" s="20" t="str">
        <f>HYPERLINK("https://semena-nn.ru/catalog/35/1313265","Фото")</f>
        <v>Фото</v>
      </c>
      <c r="H1101" s="15">
        <v>37</v>
      </c>
      <c r="I1101" s="27"/>
      <c r="J1101" s="13">
        <f>H1101*I1101</f>
        <v>0</v>
      </c>
    </row>
    <row r="1102" spans="1:10" ht="12" customHeight="1">
      <c r="A1102" s="13" t="s">
        <v>350</v>
      </c>
      <c r="B1102" s="13" t="s">
        <v>351</v>
      </c>
      <c r="C1102" s="13" t="s">
        <v>130</v>
      </c>
      <c r="D1102" s="13" t="s">
        <v>28</v>
      </c>
      <c r="E1102" s="13" t="s">
        <v>93</v>
      </c>
      <c r="F1102" s="13" t="s">
        <v>352</v>
      </c>
      <c r="G1102" s="20" t="str">
        <f>HYPERLINK("https://semena-nn.ru/catalog/35/999000011495","Фото")</f>
        <v>Фото</v>
      </c>
      <c r="H1102" s="19">
        <v>34.909999999999997</v>
      </c>
      <c r="I1102" s="27"/>
      <c r="J1102" s="13">
        <f>H1102*I1102</f>
        <v>0</v>
      </c>
    </row>
    <row r="1103" spans="1:10" ht="12" customHeight="1">
      <c r="A1103" s="13" t="s">
        <v>5261</v>
      </c>
      <c r="B1103" s="13" t="s">
        <v>5262</v>
      </c>
      <c r="C1103" s="13" t="s">
        <v>130</v>
      </c>
      <c r="D1103" s="13" t="s">
        <v>5136</v>
      </c>
      <c r="E1103" s="13" t="s">
        <v>93</v>
      </c>
      <c r="F1103" s="13" t="s">
        <v>5263</v>
      </c>
      <c r="G1103" s="20" t="str">
        <f>HYPERLINK("https://semena-nn.ru/catalog/35/1313264","Фото")</f>
        <v>Фото</v>
      </c>
      <c r="H1103" s="18">
        <v>39.9</v>
      </c>
      <c r="I1103" s="27"/>
      <c r="J1103" s="13">
        <f>H1103*I1103</f>
        <v>0</v>
      </c>
    </row>
    <row r="1104" spans="1:10" ht="12" customHeight="1">
      <c r="A1104" s="13" t="s">
        <v>5264</v>
      </c>
      <c r="B1104" s="13" t="s">
        <v>5265</v>
      </c>
      <c r="C1104" s="13" t="s">
        <v>130</v>
      </c>
      <c r="D1104" s="13" t="s">
        <v>5136</v>
      </c>
      <c r="E1104" s="13" t="s">
        <v>93</v>
      </c>
      <c r="F1104" s="13" t="s">
        <v>5266</v>
      </c>
      <c r="G1104" s="20" t="str">
        <f>HYPERLINK("https://semena-nn.ru/catalog/35/999000013225","Фото")</f>
        <v>Фото</v>
      </c>
      <c r="H1104" s="18">
        <v>39.9</v>
      </c>
      <c r="I1104" s="27"/>
      <c r="J1104" s="13">
        <f>H1104*I1104</f>
        <v>0</v>
      </c>
    </row>
    <row r="1105" spans="1:10" ht="12" customHeight="1">
      <c r="A1105" s="13" t="s">
        <v>3965</v>
      </c>
      <c r="B1105" s="13" t="s">
        <v>3966</v>
      </c>
      <c r="C1105" s="13" t="s">
        <v>130</v>
      </c>
      <c r="D1105" s="13" t="s">
        <v>3475</v>
      </c>
      <c r="E1105" s="13" t="s">
        <v>93</v>
      </c>
      <c r="F1105" s="13" t="s">
        <v>3967</v>
      </c>
      <c r="G1105" s="20" t="str">
        <f>HYPERLINK("http://semena-nn.ru/catalog/35/95981","Фото")</f>
        <v>Фото</v>
      </c>
      <c r="H1105" s="19">
        <v>37.65</v>
      </c>
      <c r="I1105" s="27"/>
      <c r="J1105" s="13">
        <f>H1105*I1105</f>
        <v>0</v>
      </c>
    </row>
    <row r="1106" spans="1:10" ht="12" customHeight="1">
      <c r="A1106" s="13" t="s">
        <v>8860</v>
      </c>
      <c r="B1106" s="13" t="s">
        <v>8861</v>
      </c>
      <c r="C1106" s="13" t="s">
        <v>130</v>
      </c>
      <c r="D1106" s="13" t="s">
        <v>8717</v>
      </c>
      <c r="E1106" s="13" t="s">
        <v>93</v>
      </c>
      <c r="F1106" s="13" t="s">
        <v>8862</v>
      </c>
      <c r="G1106" s="20" t="str">
        <f>HYPERLINK("https://semena-nn.ru/catalog/35/999000020189","Фото")</f>
        <v>Фото</v>
      </c>
      <c r="H1106" s="15">
        <v>19</v>
      </c>
      <c r="I1106" s="27"/>
      <c r="J1106" s="13">
        <f>H1106*I1106</f>
        <v>0</v>
      </c>
    </row>
    <row r="1107" spans="1:10" ht="12" customHeight="1">
      <c r="A1107" s="13" t="s">
        <v>353</v>
      </c>
      <c r="B1107" s="13" t="s">
        <v>354</v>
      </c>
      <c r="C1107" s="13" t="s">
        <v>130</v>
      </c>
      <c r="D1107" s="13" t="s">
        <v>28</v>
      </c>
      <c r="E1107" s="13" t="s">
        <v>93</v>
      </c>
      <c r="F1107" s="13" t="s">
        <v>355</v>
      </c>
      <c r="G1107" s="20" t="str">
        <f>HYPERLINK("https://semena-nn.ru/catalog/35/999000011496","Фото")</f>
        <v>Фото</v>
      </c>
      <c r="H1107" s="19">
        <v>24.05</v>
      </c>
      <c r="I1107" s="27"/>
      <c r="J1107" s="13">
        <f>H1107*I1107</f>
        <v>0</v>
      </c>
    </row>
    <row r="1108" spans="1:10" ht="12" customHeight="1">
      <c r="A1108" s="13" t="s">
        <v>3968</v>
      </c>
      <c r="B1108" s="13" t="s">
        <v>3969</v>
      </c>
      <c r="C1108" s="13" t="s">
        <v>130</v>
      </c>
      <c r="D1108" s="13" t="s">
        <v>3475</v>
      </c>
      <c r="E1108" s="13" t="s">
        <v>93</v>
      </c>
      <c r="F1108" s="13" t="s">
        <v>3970</v>
      </c>
      <c r="G1108" s="20" t="str">
        <f>HYPERLINK("https://semena-nn.ru/catalog/35/1123922","Фото")</f>
        <v>Фото</v>
      </c>
      <c r="H1108" s="18">
        <v>19.899999999999999</v>
      </c>
      <c r="I1108" s="27"/>
      <c r="J1108" s="13">
        <f>H1108*I1108</f>
        <v>0</v>
      </c>
    </row>
    <row r="1109" spans="1:10" ht="12" customHeight="1">
      <c r="A1109" s="13" t="s">
        <v>8863</v>
      </c>
      <c r="B1109" s="13" t="s">
        <v>8864</v>
      </c>
      <c r="C1109" s="13" t="s">
        <v>130</v>
      </c>
      <c r="D1109" s="13" t="s">
        <v>8717</v>
      </c>
      <c r="E1109" s="13" t="s">
        <v>93</v>
      </c>
      <c r="F1109" s="13" t="s">
        <v>8865</v>
      </c>
      <c r="G1109" s="20" t="str">
        <f>HYPERLINK("http://semena-nn.ru/catalog/35/1480","Фото")</f>
        <v>Фото</v>
      </c>
      <c r="H1109" s="18">
        <v>28.3</v>
      </c>
      <c r="I1109" s="27"/>
      <c r="J1109" s="13">
        <f>H1109*I1109</f>
        <v>0</v>
      </c>
    </row>
    <row r="1110" spans="1:10" ht="12" customHeight="1">
      <c r="A1110" s="13" t="s">
        <v>135</v>
      </c>
      <c r="B1110" s="13" t="s">
        <v>136</v>
      </c>
      <c r="C1110" s="13" t="s">
        <v>130</v>
      </c>
      <c r="D1110" s="13" t="s">
        <v>92</v>
      </c>
      <c r="E1110" s="13" t="s">
        <v>93</v>
      </c>
      <c r="F1110" s="13" t="s">
        <v>137</v>
      </c>
      <c r="G1110" s="20" t="str">
        <f>HYPERLINK("https://semena-nn.ru/catalog/35/888000000220","Фото")</f>
        <v>Фото</v>
      </c>
      <c r="H1110" s="19">
        <v>61.43</v>
      </c>
      <c r="I1110" s="27"/>
      <c r="J1110" s="13">
        <f>H1110*I1110</f>
        <v>0</v>
      </c>
    </row>
    <row r="1111" spans="1:10" ht="12" customHeight="1">
      <c r="A1111" s="13" t="s">
        <v>138</v>
      </c>
      <c r="B1111" s="13" t="s">
        <v>139</v>
      </c>
      <c r="C1111" s="13" t="s">
        <v>130</v>
      </c>
      <c r="D1111" s="13" t="s">
        <v>92</v>
      </c>
      <c r="E1111" s="13" t="s">
        <v>93</v>
      </c>
      <c r="F1111" s="13" t="s">
        <v>140</v>
      </c>
      <c r="G1111" s="20" t="str">
        <f>HYPERLINK("https://semena-nn.ru/catalog/35/1303135","Фото")</f>
        <v>Фото</v>
      </c>
      <c r="H1111" s="19">
        <v>61.43</v>
      </c>
      <c r="I1111" s="27"/>
      <c r="J1111" s="13">
        <f>H1111*I1111</f>
        <v>0</v>
      </c>
    </row>
    <row r="1112" spans="1:10" ht="12" customHeight="1">
      <c r="A1112" s="13" t="s">
        <v>7307</v>
      </c>
      <c r="B1112" s="13" t="s">
        <v>7308</v>
      </c>
      <c r="C1112" s="13" t="s">
        <v>130</v>
      </c>
      <c r="D1112" s="13"/>
      <c r="E1112" s="13"/>
      <c r="F1112" s="13" t="s">
        <v>7309</v>
      </c>
      <c r="G1112" s="13"/>
      <c r="H1112" s="18">
        <v>60.5</v>
      </c>
      <c r="I1112" s="27"/>
      <c r="J1112" s="13">
        <f>H1112*I1112</f>
        <v>0</v>
      </c>
    </row>
    <row r="1113" spans="1:10" ht="12" customHeight="1">
      <c r="A1113" s="13" t="s">
        <v>356</v>
      </c>
      <c r="B1113" s="13" t="s">
        <v>357</v>
      </c>
      <c r="C1113" s="13" t="s">
        <v>130</v>
      </c>
      <c r="D1113" s="13" t="s">
        <v>28</v>
      </c>
      <c r="E1113" s="13" t="s">
        <v>93</v>
      </c>
      <c r="F1113" s="13" t="s">
        <v>358</v>
      </c>
      <c r="G1113" s="20" t="str">
        <f>HYPERLINK("https://semena-nn.ru/catalog/35/999000011976","Фото")</f>
        <v>Фото</v>
      </c>
      <c r="H1113" s="19">
        <v>34.909999999999997</v>
      </c>
      <c r="I1113" s="27"/>
      <c r="J1113" s="13">
        <f>H1113*I1113</f>
        <v>0</v>
      </c>
    </row>
    <row r="1114" spans="1:10" ht="12" customHeight="1">
      <c r="A1114" s="13" t="s">
        <v>2880</v>
      </c>
      <c r="B1114" s="13" t="s">
        <v>2881</v>
      </c>
      <c r="C1114" s="13" t="s">
        <v>130</v>
      </c>
      <c r="D1114" s="13" t="s">
        <v>697</v>
      </c>
      <c r="E1114" s="13" t="s">
        <v>2636</v>
      </c>
      <c r="F1114" s="13" t="s">
        <v>2882</v>
      </c>
      <c r="G1114" s="20" t="str">
        <f>HYPERLINK("http://semena-nn.ru/catalog/35/3102","Фото")</f>
        <v>Фото</v>
      </c>
      <c r="H1114" s="19">
        <v>7.85</v>
      </c>
      <c r="I1114" s="27"/>
      <c r="J1114" s="13">
        <f>H1114*I1114</f>
        <v>0</v>
      </c>
    </row>
    <row r="1115" spans="1:10" ht="12" customHeight="1">
      <c r="A1115" s="13" t="s">
        <v>359</v>
      </c>
      <c r="B1115" s="13" t="s">
        <v>360</v>
      </c>
      <c r="C1115" s="13" t="s">
        <v>130</v>
      </c>
      <c r="D1115" s="13" t="s">
        <v>28</v>
      </c>
      <c r="E1115" s="13" t="s">
        <v>93</v>
      </c>
      <c r="F1115" s="13" t="s">
        <v>361</v>
      </c>
      <c r="G1115" s="20" t="str">
        <f>HYPERLINK("https://semena-nn.ru/catalog/35/999000009716","Фото")</f>
        <v>Фото</v>
      </c>
      <c r="H1115" s="19">
        <v>34.909999999999997</v>
      </c>
      <c r="I1115" s="27"/>
      <c r="J1115" s="13">
        <f>H1115*I1115</f>
        <v>0</v>
      </c>
    </row>
    <row r="1116" spans="1:10" ht="12" customHeight="1">
      <c r="A1116" s="13" t="s">
        <v>362</v>
      </c>
      <c r="B1116" s="13" t="s">
        <v>363</v>
      </c>
      <c r="C1116" s="13" t="s">
        <v>130</v>
      </c>
      <c r="D1116" s="13" t="s">
        <v>28</v>
      </c>
      <c r="E1116" s="13" t="s">
        <v>93</v>
      </c>
      <c r="F1116" s="13" t="s">
        <v>364</v>
      </c>
      <c r="G1116" s="20" t="str">
        <f>HYPERLINK("https://semena-nn.ru/catalog/35/999000009717","Фото")</f>
        <v>Фото</v>
      </c>
      <c r="H1116" s="19">
        <v>23.84</v>
      </c>
      <c r="I1116" s="27"/>
      <c r="J1116" s="13">
        <f>H1116*I1116</f>
        <v>0</v>
      </c>
    </row>
    <row r="1117" spans="1:10" ht="12" customHeight="1">
      <c r="A1117" s="13" t="s">
        <v>7310</v>
      </c>
      <c r="B1117" s="13" t="s">
        <v>7311</v>
      </c>
      <c r="C1117" s="13" t="s">
        <v>130</v>
      </c>
      <c r="D1117" s="13" t="s">
        <v>7148</v>
      </c>
      <c r="E1117" s="13" t="s">
        <v>93</v>
      </c>
      <c r="F1117" s="13" t="s">
        <v>7312</v>
      </c>
      <c r="G1117" s="20" t="str">
        <f>HYPERLINK("https://semena-nn.ru/catalog/35/888000000351","Фото")</f>
        <v>Фото</v>
      </c>
      <c r="H1117" s="18">
        <v>65.5</v>
      </c>
      <c r="I1117" s="27"/>
      <c r="J1117" s="13">
        <f>H1117*I1117</f>
        <v>0</v>
      </c>
    </row>
    <row r="1118" spans="1:10" ht="12" customHeight="1">
      <c r="A1118" s="13" t="s">
        <v>1351</v>
      </c>
      <c r="B1118" s="13" t="s">
        <v>1352</v>
      </c>
      <c r="C1118" s="13" t="s">
        <v>130</v>
      </c>
      <c r="D1118" s="13" t="s">
        <v>697</v>
      </c>
      <c r="E1118" s="13" t="s">
        <v>93</v>
      </c>
      <c r="F1118" s="13" t="s">
        <v>1353</v>
      </c>
      <c r="G1118" s="20" t="str">
        <f>HYPERLINK("https://semena-nn.ru/catalog/35/888000000281","Фото")</f>
        <v>Фото</v>
      </c>
      <c r="H1118" s="19">
        <v>20.95</v>
      </c>
      <c r="I1118" s="27"/>
      <c r="J1118" s="13">
        <f>H1118*I1118</f>
        <v>0</v>
      </c>
    </row>
    <row r="1119" spans="1:10" ht="12" customHeight="1">
      <c r="A1119" s="13" t="s">
        <v>3971</v>
      </c>
      <c r="B1119" s="13" t="s">
        <v>3972</v>
      </c>
      <c r="C1119" s="13" t="s">
        <v>130</v>
      </c>
      <c r="D1119" s="13" t="s">
        <v>3475</v>
      </c>
      <c r="E1119" s="13" t="s">
        <v>93</v>
      </c>
      <c r="F1119" s="13" t="s">
        <v>3973</v>
      </c>
      <c r="G1119" s="20" t="str">
        <f>HYPERLINK("https://semena-nn.ru/catalog/35/999000007945","Фото")</f>
        <v>Фото</v>
      </c>
      <c r="H1119" s="19">
        <v>52.65</v>
      </c>
      <c r="I1119" s="27"/>
      <c r="J1119" s="13">
        <f>H1119*I1119</f>
        <v>0</v>
      </c>
    </row>
    <row r="1120" spans="1:10" ht="12" customHeight="1">
      <c r="A1120" s="13" t="s">
        <v>7023</v>
      </c>
      <c r="B1120" s="13" t="s">
        <v>7024</v>
      </c>
      <c r="C1120" s="13" t="s">
        <v>130</v>
      </c>
      <c r="D1120" s="13" t="s">
        <v>6927</v>
      </c>
      <c r="E1120" s="13" t="s">
        <v>93</v>
      </c>
      <c r="F1120" s="13" t="s">
        <v>7025</v>
      </c>
      <c r="G1120" s="20" t="str">
        <f>HYPERLINK("https://semena-nn.ru/catalog/35/999000006154","Фото")</f>
        <v>Фото</v>
      </c>
      <c r="H1120" s="18">
        <v>61.5</v>
      </c>
      <c r="I1120" s="27"/>
      <c r="J1120" s="13">
        <f>H1120*I1120</f>
        <v>0</v>
      </c>
    </row>
    <row r="1121" spans="1:10" ht="12" customHeight="1">
      <c r="A1121" s="13" t="s">
        <v>7026</v>
      </c>
      <c r="B1121" s="13" t="s">
        <v>7027</v>
      </c>
      <c r="C1121" s="13" t="s">
        <v>130</v>
      </c>
      <c r="D1121" s="13" t="s">
        <v>6927</v>
      </c>
      <c r="E1121" s="13" t="s">
        <v>93</v>
      </c>
      <c r="F1121" s="13" t="s">
        <v>7028</v>
      </c>
      <c r="G1121" s="20" t="str">
        <f>HYPERLINK("https://semena-nn.ru/catalog/35/999000011668","Фото")</f>
        <v>Фото</v>
      </c>
      <c r="H1121" s="19">
        <v>46.15</v>
      </c>
      <c r="I1121" s="27"/>
      <c r="J1121" s="13">
        <f>H1121*I1121</f>
        <v>0</v>
      </c>
    </row>
    <row r="1122" spans="1:10" ht="12" customHeight="1">
      <c r="A1122" s="13" t="s">
        <v>8054</v>
      </c>
      <c r="B1122" s="13" t="s">
        <v>8055</v>
      </c>
      <c r="C1122" s="13" t="s">
        <v>130</v>
      </c>
      <c r="D1122" s="13" t="s">
        <v>7728</v>
      </c>
      <c r="E1122" s="13" t="s">
        <v>93</v>
      </c>
      <c r="F1122" s="13" t="s">
        <v>8056</v>
      </c>
      <c r="G1122" s="20" t="str">
        <f>HYPERLINK("https://semena-nn.ru/catalog/35/102382","Фото")</f>
        <v>Фото</v>
      </c>
      <c r="H1122" s="18">
        <v>26.4</v>
      </c>
      <c r="I1122" s="27"/>
      <c r="J1122" s="13">
        <f>H1122*I1122</f>
        <v>0</v>
      </c>
    </row>
    <row r="1123" spans="1:10" ht="12" customHeight="1">
      <c r="A1123" s="13" t="s">
        <v>8866</v>
      </c>
      <c r="B1123" s="13" t="s">
        <v>8867</v>
      </c>
      <c r="C1123" s="13" t="s">
        <v>130</v>
      </c>
      <c r="D1123" s="13" t="s">
        <v>8717</v>
      </c>
      <c r="E1123" s="13" t="s">
        <v>93</v>
      </c>
      <c r="F1123" s="17" t="s">
        <v>8868</v>
      </c>
      <c r="G1123" s="20" t="str">
        <f>HYPERLINK("http://semena-nn.ru/catalog/35/1313388","Фото")</f>
        <v>Фото</v>
      </c>
      <c r="H1123" s="19">
        <v>62.95</v>
      </c>
      <c r="I1123" s="27"/>
      <c r="J1123" s="13">
        <f>H1123*I1123</f>
        <v>0</v>
      </c>
    </row>
    <row r="1124" spans="1:10" ht="12" customHeight="1">
      <c r="A1124" s="13" t="s">
        <v>365</v>
      </c>
      <c r="B1124" s="13" t="s">
        <v>366</v>
      </c>
      <c r="C1124" s="13" t="s">
        <v>130</v>
      </c>
      <c r="D1124" s="13" t="s">
        <v>28</v>
      </c>
      <c r="E1124" s="13" t="s">
        <v>93</v>
      </c>
      <c r="F1124" s="13" t="s">
        <v>367</v>
      </c>
      <c r="G1124" s="20" t="str">
        <f>HYPERLINK("https://semena-nn.ru/catalog/35/888000000226","Фото")</f>
        <v>Фото</v>
      </c>
      <c r="H1124" s="19">
        <v>42.21</v>
      </c>
      <c r="I1124" s="27"/>
      <c r="J1124" s="13">
        <f>H1124*I1124</f>
        <v>0</v>
      </c>
    </row>
    <row r="1125" spans="1:10" ht="12" customHeight="1">
      <c r="A1125" s="13" t="s">
        <v>7313</v>
      </c>
      <c r="B1125" s="13" t="s">
        <v>7314</v>
      </c>
      <c r="C1125" s="13" t="s">
        <v>130</v>
      </c>
      <c r="D1125" s="13" t="s">
        <v>7148</v>
      </c>
      <c r="E1125" s="13" t="s">
        <v>93</v>
      </c>
      <c r="F1125" s="13" t="s">
        <v>7315</v>
      </c>
      <c r="G1125" s="20" t="str">
        <f>HYPERLINK("https://semena-nn.ru/catalog/35/888000000352","Фото")</f>
        <v>Фото</v>
      </c>
      <c r="H1125" s="18">
        <v>196.6</v>
      </c>
      <c r="I1125" s="27"/>
      <c r="J1125" s="13">
        <f>H1125*I1125</f>
        <v>0</v>
      </c>
    </row>
    <row r="1126" spans="1:10" ht="12" customHeight="1">
      <c r="A1126" s="13" t="s">
        <v>368</v>
      </c>
      <c r="B1126" s="13" t="s">
        <v>369</v>
      </c>
      <c r="C1126" s="13" t="s">
        <v>130</v>
      </c>
      <c r="D1126" s="13" t="s">
        <v>28</v>
      </c>
      <c r="E1126" s="13" t="s">
        <v>93</v>
      </c>
      <c r="F1126" s="13" t="s">
        <v>370</v>
      </c>
      <c r="G1126" s="20" t="str">
        <f>HYPERLINK("https://semena-nn.ru/catalog/35/999000009718","Фото")</f>
        <v>Фото</v>
      </c>
      <c r="H1126" s="18">
        <v>41.9</v>
      </c>
      <c r="I1126" s="27"/>
      <c r="J1126" s="13">
        <f>H1126*I1126</f>
        <v>0</v>
      </c>
    </row>
    <row r="1127" spans="1:10" ht="12" customHeight="1">
      <c r="A1127" s="13" t="s">
        <v>371</v>
      </c>
      <c r="B1127" s="13" t="s">
        <v>372</v>
      </c>
      <c r="C1127" s="13" t="s">
        <v>130</v>
      </c>
      <c r="D1127" s="13" t="s">
        <v>28</v>
      </c>
      <c r="E1127" s="13" t="s">
        <v>93</v>
      </c>
      <c r="F1127" s="13" t="s">
        <v>373</v>
      </c>
      <c r="G1127" s="20" t="str">
        <f>HYPERLINK("https://semena-nn.ru/catalog/35/999000009719","Фото")</f>
        <v>Фото</v>
      </c>
      <c r="H1127" s="19">
        <v>132.62</v>
      </c>
      <c r="I1127" s="27"/>
      <c r="J1127" s="13">
        <f>H1127*I1127</f>
        <v>0</v>
      </c>
    </row>
    <row r="1128" spans="1:10" ht="12" customHeight="1">
      <c r="A1128" s="13" t="s">
        <v>1354</v>
      </c>
      <c r="B1128" s="13" t="s">
        <v>1355</v>
      </c>
      <c r="C1128" s="13" t="s">
        <v>130</v>
      </c>
      <c r="D1128" s="13" t="s">
        <v>697</v>
      </c>
      <c r="E1128" s="13" t="s">
        <v>93</v>
      </c>
      <c r="F1128" s="13" t="s">
        <v>1356</v>
      </c>
      <c r="G1128" s="20" t="str">
        <f>HYPERLINK("https://semena-nn.ru/catalog/35/999000011000","Фото")</f>
        <v>Фото</v>
      </c>
      <c r="H1128" s="18">
        <v>19.899999999999999</v>
      </c>
      <c r="I1128" s="27"/>
      <c r="J1128" s="13">
        <f>H1128*I1128</f>
        <v>0</v>
      </c>
    </row>
    <row r="1129" spans="1:10" ht="12" customHeight="1">
      <c r="A1129" s="13" t="s">
        <v>374</v>
      </c>
      <c r="B1129" s="13" t="s">
        <v>375</v>
      </c>
      <c r="C1129" s="13" t="s">
        <v>130</v>
      </c>
      <c r="D1129" s="13" t="s">
        <v>28</v>
      </c>
      <c r="E1129" s="13" t="s">
        <v>93</v>
      </c>
      <c r="F1129" s="13" t="s">
        <v>376</v>
      </c>
      <c r="G1129" s="20" t="str">
        <f>HYPERLINK("https://semena-nn.ru/catalog/35/999000012946","Фото")</f>
        <v>Фото</v>
      </c>
      <c r="H1129" s="19">
        <v>23.73</v>
      </c>
      <c r="I1129" s="27"/>
      <c r="J1129" s="13">
        <f>H1129*I1129</f>
        <v>0</v>
      </c>
    </row>
    <row r="1130" spans="1:10" ht="12" customHeight="1">
      <c r="A1130" s="13" t="s">
        <v>8536</v>
      </c>
      <c r="B1130" s="13" t="s">
        <v>8537</v>
      </c>
      <c r="C1130" s="13" t="s">
        <v>130</v>
      </c>
      <c r="D1130" s="13" t="s">
        <v>8498</v>
      </c>
      <c r="E1130" s="13" t="s">
        <v>93</v>
      </c>
      <c r="F1130" s="13" t="s">
        <v>8538</v>
      </c>
      <c r="G1130" s="20" t="str">
        <f>HYPERLINK("https://semena-nn.ru/catalog/35/1291139","Фото")</f>
        <v>Фото</v>
      </c>
      <c r="H1130" s="19">
        <v>32.96</v>
      </c>
      <c r="I1130" s="27"/>
      <c r="J1130" s="13">
        <f>H1130*I1130</f>
        <v>0</v>
      </c>
    </row>
    <row r="1131" spans="1:10" ht="12" customHeight="1">
      <c r="A1131" s="13" t="s">
        <v>5267</v>
      </c>
      <c r="B1131" s="13" t="s">
        <v>5268</v>
      </c>
      <c r="C1131" s="13" t="s">
        <v>130</v>
      </c>
      <c r="D1131" s="13" t="s">
        <v>5136</v>
      </c>
      <c r="E1131" s="13" t="s">
        <v>93</v>
      </c>
      <c r="F1131" s="13" t="s">
        <v>5269</v>
      </c>
      <c r="G1131" s="20" t="str">
        <f>HYPERLINK("https://semena-nn.ru/catalog/35/999000019901","Фото")</f>
        <v>Фото</v>
      </c>
      <c r="H1131" s="18">
        <v>70.900000000000006</v>
      </c>
      <c r="I1131" s="27"/>
      <c r="J1131" s="13">
        <f>H1131*I1131</f>
        <v>0</v>
      </c>
    </row>
    <row r="1132" spans="1:10" ht="12" customHeight="1">
      <c r="A1132" s="13" t="s">
        <v>5270</v>
      </c>
      <c r="B1132" s="13" t="s">
        <v>5271</v>
      </c>
      <c r="C1132" s="13" t="s">
        <v>130</v>
      </c>
      <c r="D1132" s="13" t="s">
        <v>5136</v>
      </c>
      <c r="E1132" s="13" t="s">
        <v>93</v>
      </c>
      <c r="F1132" s="13" t="s">
        <v>5272</v>
      </c>
      <c r="G1132" s="20" t="str">
        <f>HYPERLINK("https://semena-nn.ru/catalog/35/999000019900","Фото")</f>
        <v>Фото</v>
      </c>
      <c r="H1132" s="15">
        <v>48</v>
      </c>
      <c r="I1132" s="27"/>
      <c r="J1132" s="13">
        <f>H1132*I1132</f>
        <v>0</v>
      </c>
    </row>
    <row r="1133" spans="1:10" ht="12" customHeight="1">
      <c r="A1133" s="13" t="s">
        <v>5273</v>
      </c>
      <c r="B1133" s="13" t="s">
        <v>5274</v>
      </c>
      <c r="C1133" s="13" t="s">
        <v>130</v>
      </c>
      <c r="D1133" s="13" t="s">
        <v>5136</v>
      </c>
      <c r="E1133" s="13" t="s">
        <v>93</v>
      </c>
      <c r="F1133" s="13" t="s">
        <v>5275</v>
      </c>
      <c r="G1133" s="20" t="str">
        <f>HYPERLINK("https://semena-nn.ru/catalog/35/999000019899","Фото")</f>
        <v>Фото</v>
      </c>
      <c r="H1133" s="15">
        <v>48</v>
      </c>
      <c r="I1133" s="27"/>
      <c r="J1133" s="13">
        <f>H1133*I1133</f>
        <v>0</v>
      </c>
    </row>
    <row r="1134" spans="1:10" ht="12" customHeight="1">
      <c r="A1134" s="13" t="s">
        <v>5276</v>
      </c>
      <c r="B1134" s="13" t="s">
        <v>5277</v>
      </c>
      <c r="C1134" s="13" t="s">
        <v>130</v>
      </c>
      <c r="D1134" s="13" t="s">
        <v>5136</v>
      </c>
      <c r="E1134" s="13" t="s">
        <v>93</v>
      </c>
      <c r="F1134" s="13" t="s">
        <v>5278</v>
      </c>
      <c r="G1134" s="20" t="str">
        <f>HYPERLINK("https://semena-nn.ru/catalog/35/999000019905","Фото")</f>
        <v>Фото</v>
      </c>
      <c r="H1134" s="15">
        <v>49</v>
      </c>
      <c r="I1134" s="27"/>
      <c r="J1134" s="13">
        <f>H1134*I1134</f>
        <v>0</v>
      </c>
    </row>
    <row r="1135" spans="1:10" ht="12" customHeight="1">
      <c r="A1135" s="13" t="s">
        <v>5279</v>
      </c>
      <c r="B1135" s="13" t="s">
        <v>5280</v>
      </c>
      <c r="C1135" s="13" t="s">
        <v>130</v>
      </c>
      <c r="D1135" s="13" t="s">
        <v>5136</v>
      </c>
      <c r="E1135" s="13" t="s">
        <v>93</v>
      </c>
      <c r="F1135" s="13" t="s">
        <v>5281</v>
      </c>
      <c r="G1135" s="20" t="str">
        <f>HYPERLINK("https://semena-nn.ru/catalog/35/1313287","Фото")</f>
        <v>Фото</v>
      </c>
      <c r="H1135" s="18">
        <v>55.5</v>
      </c>
      <c r="I1135" s="27"/>
      <c r="J1135" s="13">
        <f>H1135*I1135</f>
        <v>0</v>
      </c>
    </row>
    <row r="1136" spans="1:10" ht="12" customHeight="1">
      <c r="A1136" s="13" t="s">
        <v>5282</v>
      </c>
      <c r="B1136" s="13" t="s">
        <v>5283</v>
      </c>
      <c r="C1136" s="13" t="s">
        <v>130</v>
      </c>
      <c r="D1136" s="13" t="s">
        <v>5136</v>
      </c>
      <c r="E1136" s="13" t="s">
        <v>93</v>
      </c>
      <c r="F1136" s="13" t="s">
        <v>5284</v>
      </c>
      <c r="G1136" s="20" t="str">
        <f>HYPERLINK("https://semena-nn.ru/catalog/35/888000000288","Фото")</f>
        <v>Фото</v>
      </c>
      <c r="H1136" s="18">
        <v>71.2</v>
      </c>
      <c r="I1136" s="27"/>
      <c r="J1136" s="13">
        <f>H1136*I1136</f>
        <v>0</v>
      </c>
    </row>
    <row r="1137" spans="1:10" ht="12" customHeight="1">
      <c r="A1137" s="13" t="s">
        <v>5285</v>
      </c>
      <c r="B1137" s="13" t="s">
        <v>5286</v>
      </c>
      <c r="C1137" s="13" t="s">
        <v>130</v>
      </c>
      <c r="D1137" s="13" t="s">
        <v>5136</v>
      </c>
      <c r="E1137" s="13" t="s">
        <v>93</v>
      </c>
      <c r="F1137" s="13" t="s">
        <v>5281</v>
      </c>
      <c r="G1137" s="20" t="str">
        <f>HYPERLINK("https://semena-nn.ru/catalog/35/1313284","Фото")</f>
        <v>Фото</v>
      </c>
      <c r="H1137" s="18">
        <v>71.2</v>
      </c>
      <c r="I1137" s="27"/>
      <c r="J1137" s="13">
        <f>H1137*I1137</f>
        <v>0</v>
      </c>
    </row>
    <row r="1138" spans="1:10" ht="12" customHeight="1">
      <c r="A1138" s="13" t="s">
        <v>5287</v>
      </c>
      <c r="B1138" s="13" t="s">
        <v>5288</v>
      </c>
      <c r="C1138" s="13" t="s">
        <v>130</v>
      </c>
      <c r="D1138" s="13" t="s">
        <v>5136</v>
      </c>
      <c r="E1138" s="13" t="s">
        <v>93</v>
      </c>
      <c r="F1138" s="13" t="s">
        <v>5289</v>
      </c>
      <c r="G1138" s="20" t="str">
        <f>HYPERLINK("https://semena-nn.ru/catalog/35/888000000289","Фото")</f>
        <v>Фото</v>
      </c>
      <c r="H1138" s="18">
        <v>71.2</v>
      </c>
      <c r="I1138" s="27"/>
      <c r="J1138" s="13">
        <f>H1138*I1138</f>
        <v>0</v>
      </c>
    </row>
    <row r="1139" spans="1:10" ht="12" customHeight="1">
      <c r="A1139" s="13" t="s">
        <v>5290</v>
      </c>
      <c r="B1139" s="13" t="s">
        <v>5291</v>
      </c>
      <c r="C1139" s="13" t="s">
        <v>130</v>
      </c>
      <c r="D1139" s="13" t="s">
        <v>5136</v>
      </c>
      <c r="E1139" s="13" t="s">
        <v>93</v>
      </c>
      <c r="F1139" s="13" t="s">
        <v>5292</v>
      </c>
      <c r="G1139" s="20" t="str">
        <f>HYPERLINK("https://semena-nn.ru/catalog/35/888000000290","Фото")</f>
        <v>Фото</v>
      </c>
      <c r="H1139" s="18">
        <v>47.5</v>
      </c>
      <c r="I1139" s="27"/>
      <c r="J1139" s="13">
        <f>H1139*I1139</f>
        <v>0</v>
      </c>
    </row>
    <row r="1140" spans="1:10" ht="12" customHeight="1">
      <c r="A1140" s="13" t="s">
        <v>5293</v>
      </c>
      <c r="B1140" s="13" t="s">
        <v>5294</v>
      </c>
      <c r="C1140" s="13" t="s">
        <v>130</v>
      </c>
      <c r="D1140" s="13" t="s">
        <v>5136</v>
      </c>
      <c r="E1140" s="13" t="s">
        <v>93</v>
      </c>
      <c r="F1140" s="13" t="s">
        <v>5295</v>
      </c>
      <c r="G1140" s="20" t="str">
        <f>HYPERLINK("https://semena-nn.ru/catalog/35/888000000348","Фото")</f>
        <v>Фото</v>
      </c>
      <c r="H1140" s="15">
        <v>47</v>
      </c>
      <c r="I1140" s="27"/>
      <c r="J1140" s="13">
        <f>H1140*I1140</f>
        <v>0</v>
      </c>
    </row>
    <row r="1141" spans="1:10" ht="12" customHeight="1">
      <c r="A1141" s="13" t="s">
        <v>5296</v>
      </c>
      <c r="B1141" s="13" t="s">
        <v>5297</v>
      </c>
      <c r="C1141" s="13" t="s">
        <v>130</v>
      </c>
      <c r="D1141" s="13" t="s">
        <v>5136</v>
      </c>
      <c r="E1141" s="13" t="s">
        <v>93</v>
      </c>
      <c r="F1141" s="13" t="s">
        <v>5298</v>
      </c>
      <c r="G1141" s="20" t="str">
        <f>HYPERLINK("https://semena-nn.ru/catalog/35/999000019907","Фото")</f>
        <v>Фото</v>
      </c>
      <c r="H1141" s="15">
        <v>105</v>
      </c>
      <c r="I1141" s="27"/>
      <c r="J1141" s="13">
        <f>H1141*I1141</f>
        <v>0</v>
      </c>
    </row>
    <row r="1142" spans="1:10" ht="12" customHeight="1">
      <c r="A1142" s="13" t="s">
        <v>8057</v>
      </c>
      <c r="B1142" s="13" t="s">
        <v>8058</v>
      </c>
      <c r="C1142" s="13" t="s">
        <v>130</v>
      </c>
      <c r="D1142" s="13" t="s">
        <v>7728</v>
      </c>
      <c r="E1142" s="13" t="s">
        <v>93</v>
      </c>
      <c r="F1142" s="13" t="s">
        <v>8059</v>
      </c>
      <c r="G1142" s="20" t="str">
        <f>HYPERLINK("https://semena-nn.ru/catalog/35/1307451","Фото")</f>
        <v>Фото</v>
      </c>
      <c r="H1142" s="18">
        <v>65.2</v>
      </c>
      <c r="I1142" s="27"/>
      <c r="J1142" s="13">
        <f>H1142*I1142</f>
        <v>0</v>
      </c>
    </row>
    <row r="1143" spans="1:10" ht="12" customHeight="1">
      <c r="A1143" s="13" t="s">
        <v>7029</v>
      </c>
      <c r="B1143" s="13" t="s">
        <v>7030</v>
      </c>
      <c r="C1143" s="13" t="s">
        <v>130</v>
      </c>
      <c r="D1143" s="13" t="s">
        <v>6927</v>
      </c>
      <c r="E1143" s="13" t="s">
        <v>93</v>
      </c>
      <c r="F1143" s="13" t="s">
        <v>7031</v>
      </c>
      <c r="G1143" s="20" t="str">
        <f>HYPERLINK("https://semena-nn.ru/catalog/35/999000010163","Фото")</f>
        <v>Фото</v>
      </c>
      <c r="H1143" s="18">
        <v>50.7</v>
      </c>
      <c r="I1143" s="27"/>
      <c r="J1143" s="13">
        <f>H1143*I1143</f>
        <v>0</v>
      </c>
    </row>
    <row r="1144" spans="1:10" ht="12" customHeight="1">
      <c r="A1144" s="13" t="s">
        <v>8869</v>
      </c>
      <c r="B1144" s="13" t="s">
        <v>8870</v>
      </c>
      <c r="C1144" s="13" t="s">
        <v>130</v>
      </c>
      <c r="D1144" s="13" t="s">
        <v>8717</v>
      </c>
      <c r="E1144" s="13" t="s">
        <v>93</v>
      </c>
      <c r="F1144" s="13" t="s">
        <v>8871</v>
      </c>
      <c r="G1144" s="20" t="str">
        <f>HYPERLINK("https://semena-nn.ru/catalog/35/1305161","Фото")</f>
        <v>Фото</v>
      </c>
      <c r="H1144" s="18">
        <v>38.299999999999997</v>
      </c>
      <c r="I1144" s="27"/>
      <c r="J1144" s="13">
        <f>H1144*I1144</f>
        <v>0</v>
      </c>
    </row>
    <row r="1145" spans="1:10" ht="12" customHeight="1">
      <c r="A1145" s="13" t="s">
        <v>377</v>
      </c>
      <c r="B1145" s="13" t="s">
        <v>378</v>
      </c>
      <c r="C1145" s="13" t="s">
        <v>130</v>
      </c>
      <c r="D1145" s="13" t="s">
        <v>28</v>
      </c>
      <c r="E1145" s="13" t="s">
        <v>93</v>
      </c>
      <c r="F1145" s="13" t="s">
        <v>379</v>
      </c>
      <c r="G1145" s="20" t="str">
        <f>HYPERLINK("https://semena-nn.ru/catalog/35/999000011977","Фото")</f>
        <v>Фото</v>
      </c>
      <c r="H1145" s="19">
        <v>44.63</v>
      </c>
      <c r="I1145" s="27"/>
      <c r="J1145" s="13">
        <f>H1145*I1145</f>
        <v>0</v>
      </c>
    </row>
    <row r="1146" spans="1:10" ht="12" customHeight="1">
      <c r="A1146" s="13" t="s">
        <v>380</v>
      </c>
      <c r="B1146" s="13" t="s">
        <v>381</v>
      </c>
      <c r="C1146" s="13" t="s">
        <v>130</v>
      </c>
      <c r="D1146" s="13" t="s">
        <v>28</v>
      </c>
      <c r="E1146" s="13" t="s">
        <v>93</v>
      </c>
      <c r="F1146" s="13" t="s">
        <v>382</v>
      </c>
      <c r="G1146" s="20" t="str">
        <f>HYPERLINK("https://semena-nn.ru/catalog/35/999000009981","Фото")</f>
        <v>Фото</v>
      </c>
      <c r="H1146" s="19">
        <v>34.909999999999997</v>
      </c>
      <c r="I1146" s="27"/>
      <c r="J1146" s="13">
        <f>H1146*I1146</f>
        <v>0</v>
      </c>
    </row>
    <row r="1147" spans="1:10" ht="12" customHeight="1">
      <c r="A1147" s="13" t="s">
        <v>383</v>
      </c>
      <c r="B1147" s="13" t="s">
        <v>384</v>
      </c>
      <c r="C1147" s="13" t="s">
        <v>130</v>
      </c>
      <c r="D1147" s="13" t="s">
        <v>28</v>
      </c>
      <c r="E1147" s="13" t="s">
        <v>93</v>
      </c>
      <c r="F1147" s="13" t="s">
        <v>385</v>
      </c>
      <c r="G1147" s="20" t="str">
        <f>HYPERLINK("https://semena-nn.ru/catalog/35/999000009720","Фото")</f>
        <v>Фото</v>
      </c>
      <c r="H1147" s="19">
        <v>34.909999999999997</v>
      </c>
      <c r="I1147" s="27"/>
      <c r="J1147" s="13">
        <f>H1147*I1147</f>
        <v>0</v>
      </c>
    </row>
    <row r="1148" spans="1:10" ht="12" customHeight="1">
      <c r="A1148" s="13" t="s">
        <v>8539</v>
      </c>
      <c r="B1148" s="13" t="s">
        <v>8540</v>
      </c>
      <c r="C1148" s="13" t="s">
        <v>130</v>
      </c>
      <c r="D1148" s="13" t="s">
        <v>8498</v>
      </c>
      <c r="E1148" s="13" t="s">
        <v>93</v>
      </c>
      <c r="F1148" s="13" t="s">
        <v>8541</v>
      </c>
      <c r="G1148" s="20" t="str">
        <f>HYPERLINK("http://semena-nn.ru/catalog/35/112601","Фото")</f>
        <v>Фото</v>
      </c>
      <c r="H1148" s="18">
        <v>28.3</v>
      </c>
      <c r="I1148" s="27"/>
      <c r="J1148" s="13">
        <f>H1148*I1148</f>
        <v>0</v>
      </c>
    </row>
    <row r="1149" spans="1:10" ht="12" customHeight="1">
      <c r="A1149" s="13" t="s">
        <v>386</v>
      </c>
      <c r="B1149" s="13" t="s">
        <v>387</v>
      </c>
      <c r="C1149" s="13" t="s">
        <v>130</v>
      </c>
      <c r="D1149" s="13" t="s">
        <v>28</v>
      </c>
      <c r="E1149" s="13" t="s">
        <v>93</v>
      </c>
      <c r="F1149" s="13" t="s">
        <v>388</v>
      </c>
      <c r="G1149" s="20" t="str">
        <f>HYPERLINK("https://semena-nn.ru/catalog/35/999000020339","Фото")</f>
        <v>Фото</v>
      </c>
      <c r="H1149" s="19">
        <v>38.06</v>
      </c>
      <c r="I1149" s="27"/>
      <c r="J1149" s="13">
        <f>H1149*I1149</f>
        <v>0</v>
      </c>
    </row>
    <row r="1150" spans="1:10" ht="12" customHeight="1">
      <c r="A1150" s="13" t="s">
        <v>389</v>
      </c>
      <c r="B1150" s="13" t="s">
        <v>390</v>
      </c>
      <c r="C1150" s="13" t="s">
        <v>130</v>
      </c>
      <c r="D1150" s="13" t="s">
        <v>28</v>
      </c>
      <c r="E1150" s="13" t="s">
        <v>93</v>
      </c>
      <c r="F1150" s="13" t="s">
        <v>391</v>
      </c>
      <c r="G1150" s="20" t="str">
        <f>HYPERLINK("https://semena-nn.ru/catalog/35/999000012947","Фото")</f>
        <v>Фото</v>
      </c>
      <c r="H1150" s="19">
        <v>43.37</v>
      </c>
      <c r="I1150" s="27"/>
      <c r="J1150" s="13">
        <f>H1150*I1150</f>
        <v>0</v>
      </c>
    </row>
    <row r="1151" spans="1:10" ht="12" customHeight="1">
      <c r="A1151" s="13" t="s">
        <v>392</v>
      </c>
      <c r="B1151" s="13" t="s">
        <v>393</v>
      </c>
      <c r="C1151" s="13" t="s">
        <v>130</v>
      </c>
      <c r="D1151" s="13" t="s">
        <v>28</v>
      </c>
      <c r="E1151" s="13" t="s">
        <v>93</v>
      </c>
      <c r="F1151" s="13" t="s">
        <v>394</v>
      </c>
      <c r="G1151" s="20" t="str">
        <f>HYPERLINK("https://semena-nn.ru/catalog/35/999000009721","Фото")</f>
        <v>Фото</v>
      </c>
      <c r="H1151" s="19">
        <v>34.909999999999997</v>
      </c>
      <c r="I1151" s="27"/>
      <c r="J1151" s="13">
        <f>H1151*I1151</f>
        <v>0</v>
      </c>
    </row>
    <row r="1152" spans="1:10" ht="12" customHeight="1">
      <c r="A1152" s="13" t="s">
        <v>8060</v>
      </c>
      <c r="B1152" s="13" t="s">
        <v>8061</v>
      </c>
      <c r="C1152" s="13" t="s">
        <v>130</v>
      </c>
      <c r="D1152" s="13" t="s">
        <v>7728</v>
      </c>
      <c r="E1152" s="13" t="s">
        <v>93</v>
      </c>
      <c r="F1152" s="13" t="s">
        <v>8062</v>
      </c>
      <c r="G1152" s="20" t="str">
        <f>HYPERLINK("http://semena-nn.ru/catalog/35/1312858","Фото")</f>
        <v>Фото</v>
      </c>
      <c r="H1152" s="18">
        <v>92.4</v>
      </c>
      <c r="I1152" s="27"/>
      <c r="J1152" s="13">
        <f>H1152*I1152</f>
        <v>0</v>
      </c>
    </row>
    <row r="1153" spans="1:10" ht="12" customHeight="1">
      <c r="A1153" s="13" t="s">
        <v>6516</v>
      </c>
      <c r="B1153" s="13" t="s">
        <v>6517</v>
      </c>
      <c r="C1153" s="13" t="s">
        <v>130</v>
      </c>
      <c r="D1153" s="13" t="s">
        <v>87</v>
      </c>
      <c r="E1153" s="13" t="s">
        <v>93</v>
      </c>
      <c r="F1153" s="13" t="s">
        <v>6518</v>
      </c>
      <c r="G1153" s="20" t="str">
        <f>HYPERLINK("https://semena-nn.ru/catalog/35/999000019980","Фото")</f>
        <v>Фото</v>
      </c>
      <c r="H1153" s="18">
        <v>29.2</v>
      </c>
      <c r="I1153" s="27"/>
      <c r="J1153" s="13">
        <f>H1153*I1153</f>
        <v>0</v>
      </c>
    </row>
    <row r="1154" spans="1:10" ht="12" customHeight="1">
      <c r="A1154" s="13" t="s">
        <v>3974</v>
      </c>
      <c r="B1154" s="13" t="s">
        <v>3975</v>
      </c>
      <c r="C1154" s="13" t="s">
        <v>130</v>
      </c>
      <c r="D1154" s="13" t="s">
        <v>3475</v>
      </c>
      <c r="E1154" s="13" t="s">
        <v>93</v>
      </c>
      <c r="F1154" s="13" t="s">
        <v>3976</v>
      </c>
      <c r="G1154" s="20" t="str">
        <f>HYPERLINK("https://semena-nn.ru/catalog/35/999000020025","Фото")</f>
        <v>Фото</v>
      </c>
      <c r="H1154" s="18">
        <v>30.6</v>
      </c>
      <c r="I1154" s="27"/>
      <c r="J1154" s="13">
        <f>H1154*I1154</f>
        <v>0</v>
      </c>
    </row>
    <row r="1155" spans="1:10" ht="12" customHeight="1">
      <c r="A1155" s="13" t="s">
        <v>3977</v>
      </c>
      <c r="B1155" s="13" t="s">
        <v>3978</v>
      </c>
      <c r="C1155" s="13" t="s">
        <v>130</v>
      </c>
      <c r="D1155" s="13" t="s">
        <v>3475</v>
      </c>
      <c r="E1155" s="13" t="s">
        <v>93</v>
      </c>
      <c r="F1155" s="13" t="s">
        <v>3979</v>
      </c>
      <c r="G1155" s="20" t="str">
        <f>HYPERLINK("https://semena-nn.ru/catalog/35/999000001553","Фото")</f>
        <v>Фото</v>
      </c>
      <c r="H1155" s="18">
        <v>30.6</v>
      </c>
      <c r="I1155" s="27"/>
      <c r="J1155" s="13">
        <f>H1155*I1155</f>
        <v>0</v>
      </c>
    </row>
    <row r="1156" spans="1:10" ht="12" customHeight="1">
      <c r="A1156" s="13" t="s">
        <v>3980</v>
      </c>
      <c r="B1156" s="13" t="s">
        <v>3981</v>
      </c>
      <c r="C1156" s="13" t="s">
        <v>130</v>
      </c>
      <c r="D1156" s="13" t="s">
        <v>3475</v>
      </c>
      <c r="E1156" s="13" t="s">
        <v>93</v>
      </c>
      <c r="F1156" s="13" t="s">
        <v>3982</v>
      </c>
      <c r="G1156" s="20" t="str">
        <f>HYPERLINK("https://semena-nn.ru/catalog/35/999000020023","Фото")</f>
        <v>Фото</v>
      </c>
      <c r="H1156" s="18">
        <v>45.2</v>
      </c>
      <c r="I1156" s="27"/>
      <c r="J1156" s="13">
        <f>H1156*I1156</f>
        <v>0</v>
      </c>
    </row>
    <row r="1157" spans="1:10" ht="12" customHeight="1">
      <c r="A1157" s="13" t="s">
        <v>1357</v>
      </c>
      <c r="B1157" s="13" t="s">
        <v>1358</v>
      </c>
      <c r="C1157" s="13" t="s">
        <v>130</v>
      </c>
      <c r="D1157" s="13" t="s">
        <v>697</v>
      </c>
      <c r="E1157" s="13" t="s">
        <v>93</v>
      </c>
      <c r="F1157" s="13" t="s">
        <v>1359</v>
      </c>
      <c r="G1157" s="20" t="str">
        <f>HYPERLINK("https://semena-nn.ru/catalog/35/106434","Фото")</f>
        <v>Фото</v>
      </c>
      <c r="H1157" s="18">
        <v>24.4</v>
      </c>
      <c r="I1157" s="27"/>
      <c r="J1157" s="13">
        <f>H1157*I1157</f>
        <v>0</v>
      </c>
    </row>
    <row r="1158" spans="1:10" ht="12" customHeight="1">
      <c r="A1158" s="13" t="s">
        <v>6300</v>
      </c>
      <c r="B1158" s="13" t="s">
        <v>6301</v>
      </c>
      <c r="C1158" s="13" t="s">
        <v>130</v>
      </c>
      <c r="D1158" s="13" t="s">
        <v>6295</v>
      </c>
      <c r="E1158" s="13" t="s">
        <v>93</v>
      </c>
      <c r="F1158" s="13" t="s">
        <v>6302</v>
      </c>
      <c r="G1158" s="20" t="str">
        <f>HYPERLINK("https://semena-nn.ru/catalog/35/999000001130","Фото")</f>
        <v>Фото</v>
      </c>
      <c r="H1158" s="15">
        <v>162</v>
      </c>
      <c r="I1158" s="27"/>
      <c r="J1158" s="13">
        <f>H1158*I1158</f>
        <v>0</v>
      </c>
    </row>
    <row r="1159" spans="1:10" ht="12" customHeight="1">
      <c r="A1159" s="13" t="s">
        <v>8542</v>
      </c>
      <c r="B1159" s="13" t="s">
        <v>8543</v>
      </c>
      <c r="C1159" s="13" t="s">
        <v>130</v>
      </c>
      <c r="D1159" s="13" t="s">
        <v>8498</v>
      </c>
      <c r="E1159" s="13" t="s">
        <v>93</v>
      </c>
      <c r="F1159" s="13" t="s">
        <v>8544</v>
      </c>
      <c r="G1159" s="20" t="str">
        <f>HYPERLINK("https://semena-nn.ru/catalog/35/105707","Фото")</f>
        <v>Фото</v>
      </c>
      <c r="H1159" s="18">
        <v>30.8</v>
      </c>
      <c r="I1159" s="27"/>
      <c r="J1159" s="13">
        <f>H1159*I1159</f>
        <v>0</v>
      </c>
    </row>
    <row r="1160" spans="1:10" ht="12" customHeight="1">
      <c r="A1160" s="13" t="s">
        <v>8063</v>
      </c>
      <c r="B1160" s="13" t="s">
        <v>8064</v>
      </c>
      <c r="C1160" s="13" t="s">
        <v>130</v>
      </c>
      <c r="D1160" s="13" t="s">
        <v>7728</v>
      </c>
      <c r="E1160" s="13" t="s">
        <v>93</v>
      </c>
      <c r="F1160" s="13" t="s">
        <v>8065</v>
      </c>
      <c r="G1160" s="20" t="str">
        <f>HYPERLINK("https://semena-nn.ru/catalog/35/112032","Фото")</f>
        <v>Фото</v>
      </c>
      <c r="H1160" s="19">
        <v>22.65</v>
      </c>
      <c r="I1160" s="27"/>
      <c r="J1160" s="13">
        <f>H1160*I1160</f>
        <v>0</v>
      </c>
    </row>
    <row r="1161" spans="1:10" ht="12" customHeight="1">
      <c r="A1161" s="13" t="s">
        <v>7032</v>
      </c>
      <c r="B1161" s="13" t="s">
        <v>7033</v>
      </c>
      <c r="C1161" s="13" t="s">
        <v>130</v>
      </c>
      <c r="D1161" s="13" t="s">
        <v>6927</v>
      </c>
      <c r="E1161" s="13" t="s">
        <v>93</v>
      </c>
      <c r="F1161" s="13" t="s">
        <v>7034</v>
      </c>
      <c r="G1161" s="20" t="str">
        <f>HYPERLINK("https://semena-nn.ru/catalog/35/888000001625","Фото")</f>
        <v>Фото</v>
      </c>
      <c r="H1161" s="19">
        <v>42.95</v>
      </c>
      <c r="I1161" s="27"/>
      <c r="J1161" s="13">
        <f>H1161*I1161</f>
        <v>0</v>
      </c>
    </row>
    <row r="1162" spans="1:10" ht="12" customHeight="1">
      <c r="A1162" s="13" t="s">
        <v>395</v>
      </c>
      <c r="B1162" s="13" t="s">
        <v>396</v>
      </c>
      <c r="C1162" s="13" t="s">
        <v>130</v>
      </c>
      <c r="D1162" s="13" t="s">
        <v>28</v>
      </c>
      <c r="E1162" s="13" t="s">
        <v>93</v>
      </c>
      <c r="F1162" s="13" t="s">
        <v>397</v>
      </c>
      <c r="G1162" s="20" t="str">
        <f>HYPERLINK("https://semena-nn.ru/catalog/35/999000011706","Фото")</f>
        <v>Фото</v>
      </c>
      <c r="H1162" s="19">
        <v>34.909999999999997</v>
      </c>
      <c r="I1162" s="27"/>
      <c r="J1162" s="13">
        <f>H1162*I1162</f>
        <v>0</v>
      </c>
    </row>
    <row r="1163" spans="1:10" ht="12" customHeight="1">
      <c r="A1163" s="13" t="s">
        <v>5908</v>
      </c>
      <c r="B1163" s="13" t="s">
        <v>5909</v>
      </c>
      <c r="C1163" s="13" t="s">
        <v>130</v>
      </c>
      <c r="D1163" s="13" t="s">
        <v>5834</v>
      </c>
      <c r="E1163" s="13" t="s">
        <v>93</v>
      </c>
      <c r="F1163" s="13" t="s">
        <v>5910</v>
      </c>
      <c r="G1163" s="20" t="str">
        <f>HYPERLINK("https://semena-nn.ru/catalog/35/999000000971","Фото")</f>
        <v>Фото</v>
      </c>
      <c r="H1163" s="19">
        <v>16.489999999999998</v>
      </c>
      <c r="I1163" s="27"/>
      <c r="J1163" s="13">
        <f>H1163*I1163</f>
        <v>0</v>
      </c>
    </row>
    <row r="1164" spans="1:10" ht="12" customHeight="1">
      <c r="A1164" s="13" t="s">
        <v>1360</v>
      </c>
      <c r="B1164" s="13" t="s">
        <v>1361</v>
      </c>
      <c r="C1164" s="13" t="s">
        <v>130</v>
      </c>
      <c r="D1164" s="13" t="s">
        <v>697</v>
      </c>
      <c r="E1164" s="13" t="s">
        <v>93</v>
      </c>
      <c r="F1164" s="13" t="s">
        <v>1362</v>
      </c>
      <c r="G1164" s="20" t="str">
        <f>HYPERLINK("http://semena-nn.ru/catalog/35/999000005783","Фото")</f>
        <v>Фото</v>
      </c>
      <c r="H1164" s="15">
        <v>58</v>
      </c>
      <c r="I1164" s="27"/>
      <c r="J1164" s="13">
        <f>H1164*I1164</f>
        <v>0</v>
      </c>
    </row>
    <row r="1165" spans="1:10" ht="12" customHeight="1">
      <c r="A1165" s="13" t="s">
        <v>6519</v>
      </c>
      <c r="B1165" s="13" t="s">
        <v>6520</v>
      </c>
      <c r="C1165" s="13" t="s">
        <v>130</v>
      </c>
      <c r="D1165" s="13" t="s">
        <v>87</v>
      </c>
      <c r="E1165" s="13" t="s">
        <v>93</v>
      </c>
      <c r="F1165" s="13" t="s">
        <v>6521</v>
      </c>
      <c r="G1165" s="20" t="str">
        <f>HYPERLINK("https://semena-nn.ru/catalog/35/109070","Фото")</f>
        <v>Фото</v>
      </c>
      <c r="H1165" s="19">
        <v>17.25</v>
      </c>
      <c r="I1165" s="27"/>
      <c r="J1165" s="13">
        <f>H1165*I1165</f>
        <v>0</v>
      </c>
    </row>
    <row r="1166" spans="1:10" ht="12" customHeight="1">
      <c r="A1166" s="13" t="s">
        <v>7316</v>
      </c>
      <c r="B1166" s="13" t="s">
        <v>7317</v>
      </c>
      <c r="C1166" s="13" t="s">
        <v>130</v>
      </c>
      <c r="D1166" s="13" t="s">
        <v>7148</v>
      </c>
      <c r="E1166" s="13" t="s">
        <v>93</v>
      </c>
      <c r="F1166" s="13" t="s">
        <v>7318</v>
      </c>
      <c r="G1166" s="20" t="str">
        <f>HYPERLINK("http://semena-nn.ru/catalog/35/1313747","Фото")</f>
        <v>Фото</v>
      </c>
      <c r="H1166" s="18">
        <v>136.1</v>
      </c>
      <c r="I1166" s="27"/>
      <c r="J1166" s="13">
        <f>H1166*I1166</f>
        <v>0</v>
      </c>
    </row>
    <row r="1167" spans="1:10" ht="12" customHeight="1">
      <c r="A1167" s="13" t="s">
        <v>7319</v>
      </c>
      <c r="B1167" s="13" t="s">
        <v>7320</v>
      </c>
      <c r="C1167" s="13" t="s">
        <v>130</v>
      </c>
      <c r="D1167" s="13" t="s">
        <v>7148</v>
      </c>
      <c r="E1167" s="13" t="s">
        <v>93</v>
      </c>
      <c r="F1167" s="13" t="s">
        <v>7321</v>
      </c>
      <c r="G1167" s="20" t="str">
        <f>HYPERLINK("https://semena-nn.ru/catalog/35/999000013099","Фото")</f>
        <v>Фото</v>
      </c>
      <c r="H1167" s="18">
        <v>95.8</v>
      </c>
      <c r="I1167" s="27"/>
      <c r="J1167" s="13">
        <f>H1167*I1167</f>
        <v>0</v>
      </c>
    </row>
    <row r="1168" spans="1:10" ht="12" customHeight="1">
      <c r="A1168" s="13" t="s">
        <v>8388</v>
      </c>
      <c r="B1168" s="13" t="s">
        <v>8389</v>
      </c>
      <c r="C1168" s="13" t="s">
        <v>130</v>
      </c>
      <c r="D1168" s="13" t="s">
        <v>8317</v>
      </c>
      <c r="E1168" s="13" t="s">
        <v>93</v>
      </c>
      <c r="F1168" s="13" t="s">
        <v>8390</v>
      </c>
      <c r="G1168" s="20" t="str">
        <f>HYPERLINK("https://semena-nn.ru/catalog/35/1298423","Фото")</f>
        <v>Фото</v>
      </c>
      <c r="H1168" s="18">
        <v>99.3</v>
      </c>
      <c r="I1168" s="27"/>
      <c r="J1168" s="13">
        <f>H1168*I1168</f>
        <v>0</v>
      </c>
    </row>
    <row r="1169" spans="1:10" ht="12" customHeight="1">
      <c r="A1169" s="13" t="s">
        <v>398</v>
      </c>
      <c r="B1169" s="13" t="s">
        <v>399</v>
      </c>
      <c r="C1169" s="13" t="s">
        <v>130</v>
      </c>
      <c r="D1169" s="13" t="s">
        <v>28</v>
      </c>
      <c r="E1169" s="13" t="s">
        <v>93</v>
      </c>
      <c r="F1169" s="13" t="s">
        <v>400</v>
      </c>
      <c r="G1169" s="20" t="str">
        <f>HYPERLINK("https://semena-nn.ru/catalog/35/999000019856","Фото")</f>
        <v>Фото</v>
      </c>
      <c r="H1169" s="19">
        <v>34.909999999999997</v>
      </c>
      <c r="I1169" s="27"/>
      <c r="J1169" s="13">
        <f>H1169*I1169</f>
        <v>0</v>
      </c>
    </row>
    <row r="1170" spans="1:10" ht="12" customHeight="1">
      <c r="A1170" s="13" t="s">
        <v>8066</v>
      </c>
      <c r="B1170" s="13" t="s">
        <v>8067</v>
      </c>
      <c r="C1170" s="13" t="s">
        <v>130</v>
      </c>
      <c r="D1170" s="13" t="s">
        <v>7728</v>
      </c>
      <c r="E1170" s="13" t="s">
        <v>93</v>
      </c>
      <c r="F1170" s="13" t="s">
        <v>8068</v>
      </c>
      <c r="G1170" s="20" t="str">
        <f>HYPERLINK("https://semena-nn.ru/catalog/35/1119187","Фото")</f>
        <v>Фото</v>
      </c>
      <c r="H1170" s="18">
        <v>22.2</v>
      </c>
      <c r="I1170" s="27"/>
      <c r="J1170" s="13">
        <f>H1170*I1170</f>
        <v>0</v>
      </c>
    </row>
    <row r="1171" spans="1:10" ht="12" customHeight="1">
      <c r="A1171" s="13" t="s">
        <v>3266</v>
      </c>
      <c r="B1171" s="13" t="s">
        <v>3267</v>
      </c>
      <c r="C1171" s="13" t="s">
        <v>130</v>
      </c>
      <c r="D1171" s="13" t="s">
        <v>697</v>
      </c>
      <c r="E1171" s="13" t="s">
        <v>3064</v>
      </c>
      <c r="F1171" s="13" t="s">
        <v>3268</v>
      </c>
      <c r="G1171" s="20" t="str">
        <f>HYPERLINK("http://semena-nn.ru/catalog/35/1288964","Фото")</f>
        <v>Фото</v>
      </c>
      <c r="H1171" s="18">
        <v>15.7</v>
      </c>
      <c r="I1171" s="27"/>
      <c r="J1171" s="13">
        <f>H1171*I1171</f>
        <v>0</v>
      </c>
    </row>
    <row r="1172" spans="1:10" ht="12" customHeight="1">
      <c r="A1172" s="13" t="s">
        <v>401</v>
      </c>
      <c r="B1172" s="13" t="s">
        <v>402</v>
      </c>
      <c r="C1172" s="13" t="s">
        <v>130</v>
      </c>
      <c r="D1172" s="13" t="s">
        <v>28</v>
      </c>
      <c r="E1172" s="13" t="s">
        <v>93</v>
      </c>
      <c r="F1172" s="13" t="s">
        <v>403</v>
      </c>
      <c r="G1172" s="20" t="str">
        <f>HYPERLINK("https://semena-nn.ru/catalog/35/999000020340","Фото")</f>
        <v>Фото</v>
      </c>
      <c r="H1172" s="19">
        <v>33.340000000000003</v>
      </c>
      <c r="I1172" s="27"/>
      <c r="J1172" s="13">
        <f>H1172*I1172</f>
        <v>0</v>
      </c>
    </row>
    <row r="1173" spans="1:10" ht="12" customHeight="1">
      <c r="A1173" s="13" t="s">
        <v>3269</v>
      </c>
      <c r="B1173" s="13" t="s">
        <v>3270</v>
      </c>
      <c r="C1173" s="13" t="s">
        <v>1365</v>
      </c>
      <c r="D1173" s="13" t="s">
        <v>697</v>
      </c>
      <c r="E1173" s="13" t="s">
        <v>3064</v>
      </c>
      <c r="F1173" s="13" t="s">
        <v>3271</v>
      </c>
      <c r="G1173" s="20" t="str">
        <f>HYPERLINK("https://semena-nn.ru/catalog/36/1301314","Фото")</f>
        <v>Фото</v>
      </c>
      <c r="H1173" s="18">
        <v>14.1</v>
      </c>
      <c r="I1173" s="27"/>
      <c r="J1173" s="13">
        <f>H1173*I1173</f>
        <v>0</v>
      </c>
    </row>
    <row r="1174" spans="1:10" ht="12" customHeight="1">
      <c r="A1174" s="13" t="s">
        <v>1363</v>
      </c>
      <c r="B1174" s="13" t="s">
        <v>1364</v>
      </c>
      <c r="C1174" s="13" t="s">
        <v>1365</v>
      </c>
      <c r="D1174" s="13" t="s">
        <v>697</v>
      </c>
      <c r="E1174" s="13" t="s">
        <v>93</v>
      </c>
      <c r="F1174" s="17" t="s">
        <v>1366</v>
      </c>
      <c r="G1174" s="20" t="str">
        <f>HYPERLINK("https://semena-nn.ru/catalog/36/999000020235","Фото")</f>
        <v>Фото</v>
      </c>
      <c r="H1174" s="18">
        <v>17.8</v>
      </c>
      <c r="I1174" s="27"/>
      <c r="J1174" s="13">
        <f>H1174*I1174</f>
        <v>0</v>
      </c>
    </row>
    <row r="1175" spans="1:10" ht="12" customHeight="1">
      <c r="A1175" s="13" t="s">
        <v>2883</v>
      </c>
      <c r="B1175" s="13" t="s">
        <v>2884</v>
      </c>
      <c r="C1175" s="13" t="s">
        <v>1365</v>
      </c>
      <c r="D1175" s="13" t="s">
        <v>697</v>
      </c>
      <c r="E1175" s="13" t="s">
        <v>2636</v>
      </c>
      <c r="F1175" s="13" t="s">
        <v>2885</v>
      </c>
      <c r="G1175" s="20" t="str">
        <f>HYPERLINK("http://semena-nn.ru/catalog/36/1284664","Фото")</f>
        <v>Фото</v>
      </c>
      <c r="H1175" s="18">
        <v>9.3000000000000007</v>
      </c>
      <c r="I1175" s="27"/>
      <c r="J1175" s="13">
        <f>H1175*I1175</f>
        <v>0</v>
      </c>
    </row>
    <row r="1176" spans="1:10" ht="12" customHeight="1">
      <c r="A1176" s="13" t="s">
        <v>3272</v>
      </c>
      <c r="B1176" s="13" t="s">
        <v>3273</v>
      </c>
      <c r="C1176" s="13" t="s">
        <v>1365</v>
      </c>
      <c r="D1176" s="13" t="s">
        <v>697</v>
      </c>
      <c r="E1176" s="13" t="s">
        <v>3064</v>
      </c>
      <c r="F1176" s="13" t="s">
        <v>3274</v>
      </c>
      <c r="G1176" s="20" t="str">
        <f>HYPERLINK("https://semena-nn.ru/catalog/36/1290738","Фото")</f>
        <v>Фото</v>
      </c>
      <c r="H1176" s="18">
        <v>14.1</v>
      </c>
      <c r="I1176" s="27"/>
      <c r="J1176" s="13">
        <f>H1176*I1176</f>
        <v>0</v>
      </c>
    </row>
    <row r="1177" spans="1:10" ht="12" customHeight="1">
      <c r="A1177" s="13" t="s">
        <v>3983</v>
      </c>
      <c r="B1177" s="13" t="s">
        <v>3984</v>
      </c>
      <c r="C1177" s="13" t="s">
        <v>1365</v>
      </c>
      <c r="D1177" s="13" t="s">
        <v>3475</v>
      </c>
      <c r="E1177" s="13" t="s">
        <v>93</v>
      </c>
      <c r="F1177" s="13" t="s">
        <v>3985</v>
      </c>
      <c r="G1177" s="20" t="str">
        <f>HYPERLINK("https://semena-nn.ru/catalog/36/999000012674","Фото")</f>
        <v>Фото</v>
      </c>
      <c r="H1177" s="19">
        <v>23.15</v>
      </c>
      <c r="I1177" s="27"/>
      <c r="J1177" s="13">
        <f>H1177*I1177</f>
        <v>0</v>
      </c>
    </row>
    <row r="1178" spans="1:10" ht="12" customHeight="1">
      <c r="A1178" s="13" t="s">
        <v>3986</v>
      </c>
      <c r="B1178" s="13" t="s">
        <v>3987</v>
      </c>
      <c r="C1178" s="13" t="s">
        <v>1365</v>
      </c>
      <c r="D1178" s="13" t="s">
        <v>3475</v>
      </c>
      <c r="E1178" s="13" t="s">
        <v>93</v>
      </c>
      <c r="F1178" s="17" t="s">
        <v>3988</v>
      </c>
      <c r="G1178" s="20" t="str">
        <f>HYPERLINK("https://semena-nn.ru/catalog/36/999000012675","Фото")</f>
        <v>Фото</v>
      </c>
      <c r="H1178" s="19">
        <v>23.15</v>
      </c>
      <c r="I1178" s="27"/>
      <c r="J1178" s="13">
        <f>H1178*I1178</f>
        <v>0</v>
      </c>
    </row>
    <row r="1179" spans="1:10" ht="12" customHeight="1">
      <c r="A1179" s="13" t="s">
        <v>3275</v>
      </c>
      <c r="B1179" s="13" t="s">
        <v>3276</v>
      </c>
      <c r="C1179" s="13" t="s">
        <v>1365</v>
      </c>
      <c r="D1179" s="13" t="s">
        <v>697</v>
      </c>
      <c r="E1179" s="13" t="s">
        <v>3064</v>
      </c>
      <c r="F1179" s="13" t="s">
        <v>3277</v>
      </c>
      <c r="G1179" s="20" t="str">
        <f>HYPERLINK("https://semena-nn.ru/catalog/36/1314666","Фото")</f>
        <v>Фото</v>
      </c>
      <c r="H1179" s="19">
        <v>12.65</v>
      </c>
      <c r="I1179" s="27"/>
      <c r="J1179" s="13">
        <f>H1179*I1179</f>
        <v>0</v>
      </c>
    </row>
    <row r="1180" spans="1:10" ht="12" customHeight="1">
      <c r="A1180" s="13" t="s">
        <v>2886</v>
      </c>
      <c r="B1180" s="13" t="s">
        <v>2887</v>
      </c>
      <c r="C1180" s="13" t="s">
        <v>1365</v>
      </c>
      <c r="D1180" s="13" t="s">
        <v>697</v>
      </c>
      <c r="E1180" s="13" t="s">
        <v>2636</v>
      </c>
      <c r="F1180" s="13" t="s">
        <v>2888</v>
      </c>
      <c r="G1180" s="20" t="str">
        <f>HYPERLINK("http://semena-nn.ru/catalog/36/93586","Фото")</f>
        <v>Фото</v>
      </c>
      <c r="H1180" s="19">
        <v>7.98</v>
      </c>
      <c r="I1180" s="27"/>
      <c r="J1180" s="13">
        <f>H1180*I1180</f>
        <v>0</v>
      </c>
    </row>
    <row r="1181" spans="1:10" ht="12" customHeight="1">
      <c r="A1181" s="13" t="s">
        <v>3278</v>
      </c>
      <c r="B1181" s="13" t="s">
        <v>3279</v>
      </c>
      <c r="C1181" s="13" t="s">
        <v>1365</v>
      </c>
      <c r="D1181" s="13" t="s">
        <v>697</v>
      </c>
      <c r="E1181" s="13" t="s">
        <v>3064</v>
      </c>
      <c r="F1181" s="13" t="s">
        <v>3280</v>
      </c>
      <c r="G1181" s="20" t="str">
        <f>HYPERLINK("https://semena-nn.ru/catalog/36/1314667","Фото")</f>
        <v>Фото</v>
      </c>
      <c r="H1181" s="19">
        <v>12.65</v>
      </c>
      <c r="I1181" s="27"/>
      <c r="J1181" s="13">
        <f>H1181*I1181</f>
        <v>0</v>
      </c>
    </row>
    <row r="1182" spans="1:10" ht="12" customHeight="1">
      <c r="A1182" s="13" t="s">
        <v>2889</v>
      </c>
      <c r="B1182" s="13" t="s">
        <v>2890</v>
      </c>
      <c r="C1182" s="13" t="s">
        <v>1365</v>
      </c>
      <c r="D1182" s="13" t="s">
        <v>697</v>
      </c>
      <c r="E1182" s="13" t="s">
        <v>2636</v>
      </c>
      <c r="F1182" s="13" t="s">
        <v>2891</v>
      </c>
      <c r="G1182" s="20" t="str">
        <f>HYPERLINK("http://semena-nn.ru/catalog/36/113492","Фото")</f>
        <v>Фото</v>
      </c>
      <c r="H1182" s="18">
        <v>7.6</v>
      </c>
      <c r="I1182" s="27"/>
      <c r="J1182" s="13">
        <f>H1182*I1182</f>
        <v>0</v>
      </c>
    </row>
    <row r="1183" spans="1:10" ht="12" customHeight="1">
      <c r="A1183" s="13" t="s">
        <v>1367</v>
      </c>
      <c r="B1183" s="13" t="s">
        <v>1368</v>
      </c>
      <c r="C1183" s="13" t="s">
        <v>1365</v>
      </c>
      <c r="D1183" s="13" t="s">
        <v>697</v>
      </c>
      <c r="E1183" s="13" t="s">
        <v>93</v>
      </c>
      <c r="F1183" s="13" t="s">
        <v>1369</v>
      </c>
      <c r="G1183" s="20" t="str">
        <f>HYPERLINK("http://semena-nn.ru/catalog/36/999000005784","Фото")</f>
        <v>Фото</v>
      </c>
      <c r="H1183" s="18">
        <v>17.8</v>
      </c>
      <c r="I1183" s="27"/>
      <c r="J1183" s="13">
        <f>H1183*I1183</f>
        <v>0</v>
      </c>
    </row>
    <row r="1184" spans="1:10" ht="12" customHeight="1">
      <c r="A1184" s="13" t="s">
        <v>3989</v>
      </c>
      <c r="B1184" s="13" t="s">
        <v>3990</v>
      </c>
      <c r="C1184" s="13" t="s">
        <v>1365</v>
      </c>
      <c r="D1184" s="13" t="s">
        <v>3475</v>
      </c>
      <c r="E1184" s="13" t="s">
        <v>93</v>
      </c>
      <c r="F1184" s="13" t="s">
        <v>3991</v>
      </c>
      <c r="G1184" s="20" t="str">
        <f>HYPERLINK("https://semena-nn.ru/catalog/36/1118203","Фото")</f>
        <v>Фото</v>
      </c>
      <c r="H1184" s="18">
        <v>20.3</v>
      </c>
      <c r="I1184" s="27"/>
      <c r="J1184" s="13">
        <f>H1184*I1184</f>
        <v>0</v>
      </c>
    </row>
    <row r="1185" spans="1:10" ht="12" customHeight="1">
      <c r="A1185" s="13" t="s">
        <v>3281</v>
      </c>
      <c r="B1185" s="13" t="s">
        <v>3282</v>
      </c>
      <c r="C1185" s="13" t="s">
        <v>1365</v>
      </c>
      <c r="D1185" s="13" t="s">
        <v>697</v>
      </c>
      <c r="E1185" s="13" t="s">
        <v>3064</v>
      </c>
      <c r="F1185" s="13" t="s">
        <v>3283</v>
      </c>
      <c r="G1185" s="20" t="str">
        <f>HYPERLINK("https://semena-nn.ru/catalog/36/1314668","Фото")</f>
        <v>Фото</v>
      </c>
      <c r="H1185" s="19">
        <v>12.65</v>
      </c>
      <c r="I1185" s="27"/>
      <c r="J1185" s="13">
        <f>H1185*I1185</f>
        <v>0</v>
      </c>
    </row>
    <row r="1186" spans="1:10" ht="12" customHeight="1">
      <c r="A1186" s="13" t="s">
        <v>2892</v>
      </c>
      <c r="B1186" s="13" t="s">
        <v>2893</v>
      </c>
      <c r="C1186" s="13" t="s">
        <v>1365</v>
      </c>
      <c r="D1186" s="13" t="s">
        <v>697</v>
      </c>
      <c r="E1186" s="13" t="s">
        <v>2636</v>
      </c>
      <c r="F1186" s="13" t="s">
        <v>2894</v>
      </c>
      <c r="G1186" s="20" t="str">
        <f>HYPERLINK("http://semena-nn.ru/catalog/36/1114760","Фото")</f>
        <v>Фото</v>
      </c>
      <c r="H1186" s="18">
        <v>7.6</v>
      </c>
      <c r="I1186" s="27"/>
      <c r="J1186" s="13">
        <f>H1186*I1186</f>
        <v>0</v>
      </c>
    </row>
    <row r="1187" spans="1:10" ht="12" customHeight="1">
      <c r="A1187" s="13" t="s">
        <v>3284</v>
      </c>
      <c r="B1187" s="13" t="s">
        <v>3285</v>
      </c>
      <c r="C1187" s="13" t="s">
        <v>1365</v>
      </c>
      <c r="D1187" s="13" t="s">
        <v>697</v>
      </c>
      <c r="E1187" s="13" t="s">
        <v>3064</v>
      </c>
      <c r="F1187" s="13" t="s">
        <v>3286</v>
      </c>
      <c r="G1187" s="20" t="str">
        <f>HYPERLINK("https://semena-nn.ru/catalog/36/1301316","Фото")</f>
        <v>Фото</v>
      </c>
      <c r="H1187" s="19">
        <v>12.65</v>
      </c>
      <c r="I1187" s="27"/>
      <c r="J1187" s="13">
        <f>H1187*I1187</f>
        <v>0</v>
      </c>
    </row>
    <row r="1188" spans="1:10" ht="12" customHeight="1">
      <c r="A1188" s="13" t="s">
        <v>2895</v>
      </c>
      <c r="B1188" s="13" t="s">
        <v>2896</v>
      </c>
      <c r="C1188" s="13" t="s">
        <v>1365</v>
      </c>
      <c r="D1188" s="13" t="s">
        <v>697</v>
      </c>
      <c r="E1188" s="13" t="s">
        <v>2636</v>
      </c>
      <c r="F1188" s="13" t="s">
        <v>2897</v>
      </c>
      <c r="G1188" s="20" t="str">
        <f>HYPERLINK("http://semena-nn.ru/catalog/36/3103","Фото")</f>
        <v>Фото</v>
      </c>
      <c r="H1188" s="18">
        <v>8.9</v>
      </c>
      <c r="I1188" s="27"/>
      <c r="J1188" s="13">
        <f>H1188*I1188</f>
        <v>0</v>
      </c>
    </row>
    <row r="1189" spans="1:10" ht="12" customHeight="1">
      <c r="A1189" s="13" t="s">
        <v>3287</v>
      </c>
      <c r="B1189" s="13" t="s">
        <v>3288</v>
      </c>
      <c r="C1189" s="13" t="s">
        <v>1365</v>
      </c>
      <c r="D1189" s="13" t="s">
        <v>697</v>
      </c>
      <c r="E1189" s="13" t="s">
        <v>3064</v>
      </c>
      <c r="F1189" s="13" t="s">
        <v>3289</v>
      </c>
      <c r="G1189" s="20" t="str">
        <f>HYPERLINK("http://semena-nn.ru/catalog/36/1288114","Фото")</f>
        <v>Фото</v>
      </c>
      <c r="H1189" s="19">
        <v>13.75</v>
      </c>
      <c r="I1189" s="27"/>
      <c r="J1189" s="13">
        <f>H1189*I1189</f>
        <v>0</v>
      </c>
    </row>
    <row r="1190" spans="1:10" ht="12" customHeight="1">
      <c r="A1190" s="13" t="s">
        <v>2898</v>
      </c>
      <c r="B1190" s="13" t="s">
        <v>2899</v>
      </c>
      <c r="C1190" s="13" t="s">
        <v>1365</v>
      </c>
      <c r="D1190" s="13" t="s">
        <v>697</v>
      </c>
      <c r="E1190" s="13" t="s">
        <v>2636</v>
      </c>
      <c r="F1190" s="13" t="s">
        <v>2900</v>
      </c>
      <c r="G1190" s="20" t="str">
        <f>HYPERLINK("http://semena-nn.ru/catalog/36/3105","Фото")</f>
        <v>Фото</v>
      </c>
      <c r="H1190" s="18">
        <v>9.3000000000000007</v>
      </c>
      <c r="I1190" s="27"/>
      <c r="J1190" s="13">
        <f>H1190*I1190</f>
        <v>0</v>
      </c>
    </row>
    <row r="1191" spans="1:10" ht="12" customHeight="1">
      <c r="A1191" s="13" t="s">
        <v>1370</v>
      </c>
      <c r="B1191" s="13" t="s">
        <v>1371</v>
      </c>
      <c r="C1191" s="13" t="s">
        <v>1365</v>
      </c>
      <c r="D1191" s="13" t="s">
        <v>697</v>
      </c>
      <c r="E1191" s="13" t="s">
        <v>93</v>
      </c>
      <c r="F1191" s="13" t="s">
        <v>1372</v>
      </c>
      <c r="G1191" s="20" t="str">
        <f>HYPERLINK("https://semena-nn.ru/catalog/36/113660","Фото")</f>
        <v>Фото</v>
      </c>
      <c r="H1191" s="18">
        <v>17.8</v>
      </c>
      <c r="I1191" s="27"/>
      <c r="J1191" s="13">
        <f>H1191*I1191</f>
        <v>0</v>
      </c>
    </row>
    <row r="1192" spans="1:10" ht="12" customHeight="1">
      <c r="A1192" s="13" t="s">
        <v>2901</v>
      </c>
      <c r="B1192" s="13" t="s">
        <v>2902</v>
      </c>
      <c r="C1192" s="13" t="s">
        <v>1365</v>
      </c>
      <c r="D1192" s="13" t="s">
        <v>697</v>
      </c>
      <c r="E1192" s="13" t="s">
        <v>2636</v>
      </c>
      <c r="F1192" s="13" t="s">
        <v>2903</v>
      </c>
      <c r="G1192" s="20" t="str">
        <f>HYPERLINK("http://semena-nn.ru/catalog/36/3104","Фото")</f>
        <v>Фото</v>
      </c>
      <c r="H1192" s="19">
        <v>7.98</v>
      </c>
      <c r="I1192" s="27"/>
      <c r="J1192" s="13">
        <f>H1192*I1192</f>
        <v>0</v>
      </c>
    </row>
    <row r="1193" spans="1:10" ht="12" customHeight="1">
      <c r="A1193" s="13" t="s">
        <v>3992</v>
      </c>
      <c r="B1193" s="13" t="s">
        <v>3993</v>
      </c>
      <c r="C1193" s="13" t="s">
        <v>1365</v>
      </c>
      <c r="D1193" s="13" t="s">
        <v>3475</v>
      </c>
      <c r="E1193" s="13" t="s">
        <v>93</v>
      </c>
      <c r="F1193" s="13" t="s">
        <v>3994</v>
      </c>
      <c r="G1193" s="20" t="str">
        <f>HYPERLINK("http://semena-nn.ru/catalog/36/1114332","Фото")</f>
        <v>Фото</v>
      </c>
      <c r="H1193" s="18">
        <v>18.7</v>
      </c>
      <c r="I1193" s="27"/>
      <c r="J1193" s="13">
        <f>H1193*I1193</f>
        <v>0</v>
      </c>
    </row>
    <row r="1194" spans="1:10" ht="12" customHeight="1">
      <c r="A1194" s="13" t="s">
        <v>1373</v>
      </c>
      <c r="B1194" s="13" t="s">
        <v>1374</v>
      </c>
      <c r="C1194" s="13" t="s">
        <v>1365</v>
      </c>
      <c r="D1194" s="13" t="s">
        <v>697</v>
      </c>
      <c r="E1194" s="13" t="s">
        <v>93</v>
      </c>
      <c r="F1194" s="13" t="s">
        <v>1375</v>
      </c>
      <c r="G1194" s="20" t="str">
        <f>HYPERLINK("https://semena-nn.ru/catalog/36/1306653","Фото")</f>
        <v>Фото</v>
      </c>
      <c r="H1194" s="18">
        <v>19.3</v>
      </c>
      <c r="I1194" s="27"/>
      <c r="J1194" s="13">
        <f>H1194*I1194</f>
        <v>0</v>
      </c>
    </row>
    <row r="1195" spans="1:10" ht="12" customHeight="1">
      <c r="A1195" s="13" t="s">
        <v>1376</v>
      </c>
      <c r="B1195" s="13" t="s">
        <v>1377</v>
      </c>
      <c r="C1195" s="13" t="s">
        <v>1365</v>
      </c>
      <c r="D1195" s="13" t="s">
        <v>697</v>
      </c>
      <c r="E1195" s="13" t="s">
        <v>93</v>
      </c>
      <c r="F1195" s="13" t="s">
        <v>1378</v>
      </c>
      <c r="G1195" s="20" t="str">
        <f>HYPERLINK("https://semena-nn.ru/catalog/36/999000011001","Фото")</f>
        <v>Фото</v>
      </c>
      <c r="H1195" s="18">
        <v>18.7</v>
      </c>
      <c r="I1195" s="27"/>
      <c r="J1195" s="13">
        <f>H1195*I1195</f>
        <v>0</v>
      </c>
    </row>
    <row r="1196" spans="1:10" ht="12" customHeight="1">
      <c r="A1196" s="13" t="s">
        <v>1379</v>
      </c>
      <c r="B1196" s="13" t="s">
        <v>1380</v>
      </c>
      <c r="C1196" s="13" t="s">
        <v>1365</v>
      </c>
      <c r="D1196" s="13" t="s">
        <v>697</v>
      </c>
      <c r="E1196" s="13" t="s">
        <v>93</v>
      </c>
      <c r="F1196" s="13" t="s">
        <v>1381</v>
      </c>
      <c r="G1196" s="20" t="str">
        <f>HYPERLINK("https://semena-nn.ru/catalog/36/1314298","Фото")</f>
        <v>Фото</v>
      </c>
      <c r="H1196" s="18">
        <v>17.8</v>
      </c>
      <c r="I1196" s="27"/>
      <c r="J1196" s="13">
        <f>H1196*I1196</f>
        <v>0</v>
      </c>
    </row>
    <row r="1197" spans="1:10" ht="12" customHeight="1">
      <c r="A1197" s="13" t="s">
        <v>1382</v>
      </c>
      <c r="B1197" s="13" t="s">
        <v>1383</v>
      </c>
      <c r="C1197" s="13" t="s">
        <v>1365</v>
      </c>
      <c r="D1197" s="13" t="s">
        <v>697</v>
      </c>
      <c r="E1197" s="13" t="s">
        <v>93</v>
      </c>
      <c r="F1197" s="13" t="s">
        <v>1384</v>
      </c>
      <c r="G1197" s="20" t="str">
        <f>HYPERLINK("https://semena-nn.ru/catalog/36/1119667","Фото")</f>
        <v>Фото</v>
      </c>
      <c r="H1197" s="18">
        <v>17.8</v>
      </c>
      <c r="I1197" s="27"/>
      <c r="J1197" s="13">
        <f>H1197*I1197</f>
        <v>0</v>
      </c>
    </row>
    <row r="1198" spans="1:10" ht="12" customHeight="1">
      <c r="A1198" s="13" t="s">
        <v>1385</v>
      </c>
      <c r="B1198" s="13" t="s">
        <v>1386</v>
      </c>
      <c r="C1198" s="13" t="s">
        <v>1365</v>
      </c>
      <c r="D1198" s="13" t="s">
        <v>697</v>
      </c>
      <c r="E1198" s="13" t="s">
        <v>93</v>
      </c>
      <c r="F1198" s="13" t="s">
        <v>1387</v>
      </c>
      <c r="G1198" s="20" t="str">
        <f>HYPERLINK("http://semena-nn.ru/catalog/36/999000005785","Фото")</f>
        <v>Фото</v>
      </c>
      <c r="H1198" s="18">
        <v>17.8</v>
      </c>
      <c r="I1198" s="27"/>
      <c r="J1198" s="13">
        <f>H1198*I1198</f>
        <v>0</v>
      </c>
    </row>
    <row r="1199" spans="1:10" ht="12" customHeight="1">
      <c r="A1199" s="13" t="s">
        <v>3995</v>
      </c>
      <c r="B1199" s="13" t="s">
        <v>3996</v>
      </c>
      <c r="C1199" s="13" t="s">
        <v>1365</v>
      </c>
      <c r="D1199" s="13" t="s">
        <v>3475</v>
      </c>
      <c r="E1199" s="13" t="s">
        <v>93</v>
      </c>
      <c r="F1199" s="13" t="s">
        <v>3997</v>
      </c>
      <c r="G1199" s="20" t="str">
        <f>HYPERLINK("http://semena-nn.ru/catalog/36/1304459","Фото")</f>
        <v>Фото</v>
      </c>
      <c r="H1199" s="19">
        <v>28.65</v>
      </c>
      <c r="I1199" s="27"/>
      <c r="J1199" s="13">
        <f>H1199*I1199</f>
        <v>0</v>
      </c>
    </row>
    <row r="1200" spans="1:10" ht="12" customHeight="1">
      <c r="A1200" s="13" t="s">
        <v>3998</v>
      </c>
      <c r="B1200" s="13" t="s">
        <v>3999</v>
      </c>
      <c r="C1200" s="13" t="s">
        <v>1365</v>
      </c>
      <c r="D1200" s="13" t="s">
        <v>3475</v>
      </c>
      <c r="E1200" s="13" t="s">
        <v>93</v>
      </c>
      <c r="F1200" s="13" t="s">
        <v>4000</v>
      </c>
      <c r="G1200" s="20" t="str">
        <f>HYPERLINK("http://semena-nn.ru/catalog/36/1315353","Фото")</f>
        <v>Фото</v>
      </c>
      <c r="H1200" s="18">
        <v>18.2</v>
      </c>
      <c r="I1200" s="27"/>
      <c r="J1200" s="13">
        <f>H1200*I1200</f>
        <v>0</v>
      </c>
    </row>
    <row r="1201" spans="1:10" ht="12" customHeight="1">
      <c r="A1201" s="13" t="s">
        <v>4001</v>
      </c>
      <c r="B1201" s="13" t="s">
        <v>4002</v>
      </c>
      <c r="C1201" s="13" t="s">
        <v>1365</v>
      </c>
      <c r="D1201" s="13" t="s">
        <v>3475</v>
      </c>
      <c r="E1201" s="13" t="s">
        <v>93</v>
      </c>
      <c r="F1201" s="13" t="s">
        <v>4003</v>
      </c>
      <c r="G1201" s="20" t="str">
        <f>HYPERLINK("http://semena-nn.ru/admin/catalog/1304460","Фото")</f>
        <v>Фото</v>
      </c>
      <c r="H1201" s="18">
        <v>18.7</v>
      </c>
      <c r="I1201" s="27"/>
      <c r="J1201" s="13">
        <f>H1201*I1201</f>
        <v>0</v>
      </c>
    </row>
    <row r="1202" spans="1:10" ht="12" customHeight="1">
      <c r="A1202" s="13" t="s">
        <v>1388</v>
      </c>
      <c r="B1202" s="13" t="s">
        <v>1389</v>
      </c>
      <c r="C1202" s="13" t="s">
        <v>1365</v>
      </c>
      <c r="D1202" s="13" t="s">
        <v>697</v>
      </c>
      <c r="E1202" s="13" t="s">
        <v>93</v>
      </c>
      <c r="F1202" s="13" t="s">
        <v>1390</v>
      </c>
      <c r="G1202" s="20" t="str">
        <f>HYPERLINK("https://semena-nn.ru/catalog/36/1282899","Фото")</f>
        <v>Фото</v>
      </c>
      <c r="H1202" s="18">
        <v>17.8</v>
      </c>
      <c r="I1202" s="27"/>
      <c r="J1202" s="13">
        <f>H1202*I1202</f>
        <v>0</v>
      </c>
    </row>
    <row r="1203" spans="1:10" ht="12" customHeight="1">
      <c r="A1203" s="13" t="s">
        <v>4004</v>
      </c>
      <c r="B1203" s="13" t="s">
        <v>4005</v>
      </c>
      <c r="C1203" s="13" t="s">
        <v>1365</v>
      </c>
      <c r="D1203" s="13" t="s">
        <v>3475</v>
      </c>
      <c r="E1203" s="13" t="s">
        <v>93</v>
      </c>
      <c r="F1203" s="13" t="s">
        <v>4006</v>
      </c>
      <c r="G1203" s="20" t="str">
        <f>HYPERLINK("http://semena-nn.ru/catalog/36/1282650","Фото")</f>
        <v>Фото</v>
      </c>
      <c r="H1203" s="18">
        <v>20.3</v>
      </c>
      <c r="I1203" s="27"/>
      <c r="J1203" s="13">
        <f>H1203*I1203</f>
        <v>0</v>
      </c>
    </row>
    <row r="1204" spans="1:10" ht="12" customHeight="1">
      <c r="A1204" s="13" t="s">
        <v>8069</v>
      </c>
      <c r="B1204" s="13" t="s">
        <v>8070</v>
      </c>
      <c r="C1204" s="13" t="s">
        <v>1365</v>
      </c>
      <c r="D1204" s="13" t="s">
        <v>7728</v>
      </c>
      <c r="E1204" s="13" t="s">
        <v>93</v>
      </c>
      <c r="F1204" s="13" t="s">
        <v>8071</v>
      </c>
      <c r="G1204" s="20" t="str">
        <f>HYPERLINK("https://semena-nn.ru/catalog/36/99701","Фото")</f>
        <v>Фото</v>
      </c>
      <c r="H1204" s="18">
        <v>22.2</v>
      </c>
      <c r="I1204" s="27"/>
      <c r="J1204" s="13">
        <f>H1204*I1204</f>
        <v>0</v>
      </c>
    </row>
    <row r="1205" spans="1:10" ht="12" customHeight="1">
      <c r="A1205" s="13" t="s">
        <v>2904</v>
      </c>
      <c r="B1205" s="13" t="s">
        <v>2905</v>
      </c>
      <c r="C1205" s="13" t="s">
        <v>1365</v>
      </c>
      <c r="D1205" s="13" t="s">
        <v>697</v>
      </c>
      <c r="E1205" s="13" t="s">
        <v>2636</v>
      </c>
      <c r="F1205" s="13" t="s">
        <v>2906</v>
      </c>
      <c r="G1205" s="20" t="str">
        <f>HYPERLINK("http://semena-nn.ru/catalog/36/113494","Фото")</f>
        <v>Фото</v>
      </c>
      <c r="H1205" s="18">
        <v>7.6</v>
      </c>
      <c r="I1205" s="27"/>
      <c r="J1205" s="13">
        <f>H1205*I1205</f>
        <v>0</v>
      </c>
    </row>
    <row r="1206" spans="1:10" ht="12" customHeight="1">
      <c r="A1206" s="13" t="s">
        <v>1391</v>
      </c>
      <c r="B1206" s="13" t="s">
        <v>1392</v>
      </c>
      <c r="C1206" s="13" t="s">
        <v>1365</v>
      </c>
      <c r="D1206" s="13" t="s">
        <v>697</v>
      </c>
      <c r="E1206" s="13" t="s">
        <v>93</v>
      </c>
      <c r="F1206" s="17" t="s">
        <v>1393</v>
      </c>
      <c r="G1206" s="20" t="str">
        <f>HYPERLINK("http://semena-nn.ru/catalog/36/1124031","Фото")</f>
        <v>Фото</v>
      </c>
      <c r="H1206" s="18">
        <v>18.7</v>
      </c>
      <c r="I1206" s="27"/>
      <c r="J1206" s="13">
        <f>H1206*I1206</f>
        <v>0</v>
      </c>
    </row>
    <row r="1207" spans="1:10" ht="12" customHeight="1">
      <c r="A1207" s="13" t="s">
        <v>1394</v>
      </c>
      <c r="B1207" s="13" t="s">
        <v>1395</v>
      </c>
      <c r="C1207" s="13" t="s">
        <v>1365</v>
      </c>
      <c r="D1207" s="13" t="s">
        <v>697</v>
      </c>
      <c r="E1207" s="13" t="s">
        <v>93</v>
      </c>
      <c r="F1207" s="13" t="s">
        <v>1396</v>
      </c>
      <c r="G1207" s="20" t="str">
        <f>HYPERLINK("https://semena-nn.ru/catalog/36/1314299","Фото")</f>
        <v>Фото</v>
      </c>
      <c r="H1207" s="18">
        <v>17.8</v>
      </c>
      <c r="I1207" s="27"/>
      <c r="J1207" s="13">
        <f>H1207*I1207</f>
        <v>0</v>
      </c>
    </row>
    <row r="1208" spans="1:10" ht="12" customHeight="1">
      <c r="A1208" s="13" t="s">
        <v>4007</v>
      </c>
      <c r="B1208" s="13" t="s">
        <v>4008</v>
      </c>
      <c r="C1208" s="13" t="s">
        <v>1365</v>
      </c>
      <c r="D1208" s="13" t="s">
        <v>3475</v>
      </c>
      <c r="E1208" s="13" t="s">
        <v>93</v>
      </c>
      <c r="F1208" s="13" t="s">
        <v>4009</v>
      </c>
      <c r="G1208" s="20" t="str">
        <f>HYPERLINK("http://semena-nn.ru/catalog/36/109970","Фото")</f>
        <v>Фото</v>
      </c>
      <c r="H1208" s="18">
        <v>21.5</v>
      </c>
      <c r="I1208" s="27"/>
      <c r="J1208" s="13">
        <f>H1208*I1208</f>
        <v>0</v>
      </c>
    </row>
    <row r="1209" spans="1:10" ht="12" customHeight="1">
      <c r="A1209" s="13" t="s">
        <v>5025</v>
      </c>
      <c r="B1209" s="13" t="s">
        <v>5026</v>
      </c>
      <c r="C1209" s="13" t="s">
        <v>2909</v>
      </c>
      <c r="D1209" s="13" t="s">
        <v>3475</v>
      </c>
      <c r="E1209" s="13" t="s">
        <v>5009</v>
      </c>
      <c r="F1209" s="13" t="s">
        <v>5027</v>
      </c>
      <c r="G1209" s="20" t="str">
        <f>HYPERLINK("https://semena-nn.ru/catalog/37/1312981","Фото")</f>
        <v>Фото</v>
      </c>
      <c r="H1209" s="19">
        <v>12.61</v>
      </c>
      <c r="I1209" s="27"/>
      <c r="J1209" s="13">
        <f>H1209*I1209</f>
        <v>0</v>
      </c>
    </row>
    <row r="1210" spans="1:10" ht="12" customHeight="1">
      <c r="A1210" s="13" t="s">
        <v>2907</v>
      </c>
      <c r="B1210" s="13" t="s">
        <v>2908</v>
      </c>
      <c r="C1210" s="13" t="s">
        <v>2909</v>
      </c>
      <c r="D1210" s="13" t="s">
        <v>697</v>
      </c>
      <c r="E1210" s="13" t="s">
        <v>2636</v>
      </c>
      <c r="F1210" s="13" t="s">
        <v>2910</v>
      </c>
      <c r="G1210" s="20" t="str">
        <f>HYPERLINK("http://semena-nn.ru/catalog/37/999000005738","Фото")</f>
        <v>Фото</v>
      </c>
      <c r="H1210" s="19">
        <v>6.85</v>
      </c>
      <c r="I1210" s="27"/>
      <c r="J1210" s="13">
        <f>H1210*I1210</f>
        <v>0</v>
      </c>
    </row>
    <row r="1211" spans="1:10" ht="12" customHeight="1">
      <c r="A1211" s="13" t="s">
        <v>404</v>
      </c>
      <c r="B1211" s="13" t="s">
        <v>405</v>
      </c>
      <c r="C1211" s="13" t="s">
        <v>406</v>
      </c>
      <c r="D1211" s="13" t="s">
        <v>28</v>
      </c>
      <c r="E1211" s="13" t="s">
        <v>93</v>
      </c>
      <c r="F1211" s="13" t="s">
        <v>407</v>
      </c>
      <c r="G1211" s="20" t="str">
        <f>HYPERLINK("https://semena-nn.ru/catalog/38/888000000565","Фото")</f>
        <v>Фото</v>
      </c>
      <c r="H1211" s="19">
        <v>20.48</v>
      </c>
      <c r="I1211" s="27"/>
      <c r="J1211" s="13">
        <f>H1211*I1211</f>
        <v>0</v>
      </c>
    </row>
    <row r="1212" spans="1:10" ht="12" customHeight="1">
      <c r="A1212" s="13" t="s">
        <v>6522</v>
      </c>
      <c r="B1212" s="13" t="s">
        <v>6523</v>
      </c>
      <c r="C1212" s="13" t="s">
        <v>696</v>
      </c>
      <c r="D1212" s="13" t="s">
        <v>87</v>
      </c>
      <c r="E1212" s="13" t="s">
        <v>93</v>
      </c>
      <c r="F1212" s="17" t="s">
        <v>6524</v>
      </c>
      <c r="G1212" s="20" t="str">
        <f>HYPERLINK("https://semena-nn.ru/catalog/38/999000010544","Фото")</f>
        <v>Фото</v>
      </c>
      <c r="H1212" s="19">
        <v>17.649999999999999</v>
      </c>
      <c r="I1212" s="27"/>
      <c r="J1212" s="13">
        <f>H1212*I1212</f>
        <v>0</v>
      </c>
    </row>
    <row r="1213" spans="1:10" ht="12" customHeight="1">
      <c r="A1213" s="13" t="s">
        <v>408</v>
      </c>
      <c r="B1213" s="13" t="s">
        <v>409</v>
      </c>
      <c r="C1213" s="13" t="s">
        <v>406</v>
      </c>
      <c r="D1213" s="13" t="s">
        <v>28</v>
      </c>
      <c r="E1213" s="13" t="s">
        <v>93</v>
      </c>
      <c r="F1213" s="13" t="s">
        <v>410</v>
      </c>
      <c r="G1213" s="20" t="str">
        <f>HYPERLINK("https://semena-nn.ru/catalog/38/888000000566","Фото")</f>
        <v>Фото</v>
      </c>
      <c r="H1213" s="18">
        <v>25.1</v>
      </c>
      <c r="I1213" s="27"/>
      <c r="J1213" s="13">
        <f>H1213*I1213</f>
        <v>0</v>
      </c>
    </row>
    <row r="1214" spans="1:10" ht="12" customHeight="1">
      <c r="A1214" s="13" t="s">
        <v>411</v>
      </c>
      <c r="B1214" s="13" t="s">
        <v>412</v>
      </c>
      <c r="C1214" s="13" t="s">
        <v>406</v>
      </c>
      <c r="D1214" s="13" t="s">
        <v>28</v>
      </c>
      <c r="E1214" s="13" t="s">
        <v>93</v>
      </c>
      <c r="F1214" s="13" t="s">
        <v>413</v>
      </c>
      <c r="G1214" s="20" t="str">
        <f>HYPERLINK("https://semena-nn.ru/catalog/38/888000000567","Фото")</f>
        <v>Фото</v>
      </c>
      <c r="H1214" s="19">
        <v>21.63</v>
      </c>
      <c r="I1214" s="27"/>
      <c r="J1214" s="13">
        <f>H1214*I1214</f>
        <v>0</v>
      </c>
    </row>
    <row r="1215" spans="1:10" ht="12" customHeight="1">
      <c r="A1215" s="13" t="s">
        <v>8072</v>
      </c>
      <c r="B1215" s="13" t="s">
        <v>8073</v>
      </c>
      <c r="C1215" s="13" t="s">
        <v>696</v>
      </c>
      <c r="D1215" s="13" t="s">
        <v>7728</v>
      </c>
      <c r="E1215" s="13" t="s">
        <v>93</v>
      </c>
      <c r="F1215" s="13" t="s">
        <v>8074</v>
      </c>
      <c r="G1215" s="20" t="str">
        <f>HYPERLINK("http://semena-nn.ru/catalog/38/1285687","Фото")</f>
        <v>Фото</v>
      </c>
      <c r="H1215" s="18">
        <v>21.5</v>
      </c>
      <c r="I1215" s="27"/>
      <c r="J1215" s="13">
        <f>H1215*I1215</f>
        <v>0</v>
      </c>
    </row>
    <row r="1216" spans="1:10" ht="12" customHeight="1">
      <c r="A1216" s="13" t="s">
        <v>8872</v>
      </c>
      <c r="B1216" s="13" t="s">
        <v>8873</v>
      </c>
      <c r="C1216" s="13" t="s">
        <v>416</v>
      </c>
      <c r="D1216" s="13" t="s">
        <v>8717</v>
      </c>
      <c r="E1216" s="13" t="s">
        <v>93</v>
      </c>
      <c r="F1216" s="13" t="s">
        <v>8874</v>
      </c>
      <c r="G1216" s="20" t="str">
        <f>HYPERLINK("https://semena-nn.ru/catalog/39/1304105","Фото")</f>
        <v>Фото</v>
      </c>
      <c r="H1216" s="18">
        <v>21.5</v>
      </c>
      <c r="I1216" s="27"/>
      <c r="J1216" s="13">
        <f>H1216*I1216</f>
        <v>0</v>
      </c>
    </row>
    <row r="1217" spans="1:10" ht="12" customHeight="1">
      <c r="A1217" s="13" t="s">
        <v>3290</v>
      </c>
      <c r="B1217" s="13" t="s">
        <v>3291</v>
      </c>
      <c r="C1217" s="13" t="s">
        <v>416</v>
      </c>
      <c r="D1217" s="13" t="s">
        <v>697</v>
      </c>
      <c r="E1217" s="13" t="s">
        <v>3064</v>
      </c>
      <c r="F1217" s="13" t="s">
        <v>3292</v>
      </c>
      <c r="G1217" s="20" t="str">
        <f>HYPERLINK("http://semena-nn.ru/catalog/39/1288116","Фото")</f>
        <v>Фото</v>
      </c>
      <c r="H1217" s="19">
        <v>12.65</v>
      </c>
      <c r="I1217" s="27"/>
      <c r="J1217" s="13">
        <f>H1217*I1217</f>
        <v>0</v>
      </c>
    </row>
    <row r="1218" spans="1:10" ht="12" customHeight="1">
      <c r="A1218" s="13" t="s">
        <v>1397</v>
      </c>
      <c r="B1218" s="13" t="s">
        <v>1398</v>
      </c>
      <c r="C1218" s="13" t="s">
        <v>416</v>
      </c>
      <c r="D1218" s="13" t="s">
        <v>697</v>
      </c>
      <c r="E1218" s="13" t="s">
        <v>93</v>
      </c>
      <c r="F1218" s="13" t="s">
        <v>1399</v>
      </c>
      <c r="G1218" s="20" t="str">
        <f>HYPERLINK("http://semena-nn.ru/catalog/39/106410","Фото")</f>
        <v>Фото</v>
      </c>
      <c r="H1218" s="19">
        <v>19.25</v>
      </c>
      <c r="I1218" s="27"/>
      <c r="J1218" s="13">
        <f>H1218*I1218</f>
        <v>0</v>
      </c>
    </row>
    <row r="1219" spans="1:10" ht="12" customHeight="1">
      <c r="A1219" s="13" t="s">
        <v>1400</v>
      </c>
      <c r="B1219" s="13" t="s">
        <v>1401</v>
      </c>
      <c r="C1219" s="13" t="s">
        <v>416</v>
      </c>
      <c r="D1219" s="13" t="s">
        <v>697</v>
      </c>
      <c r="E1219" s="13" t="s">
        <v>93</v>
      </c>
      <c r="F1219" s="13" t="s">
        <v>1402</v>
      </c>
      <c r="G1219" s="20" t="str">
        <f>HYPERLINK("http://semena-nn.ru/catalog/39/98972","Фото")</f>
        <v>Фото</v>
      </c>
      <c r="H1219" s="18">
        <v>21.9</v>
      </c>
      <c r="I1219" s="27"/>
      <c r="J1219" s="13">
        <f>H1219*I1219</f>
        <v>0</v>
      </c>
    </row>
    <row r="1220" spans="1:10" ht="12" customHeight="1">
      <c r="A1220" s="13" t="s">
        <v>1403</v>
      </c>
      <c r="B1220" s="13" t="s">
        <v>1404</v>
      </c>
      <c r="C1220" s="13" t="s">
        <v>416</v>
      </c>
      <c r="D1220" s="13" t="s">
        <v>697</v>
      </c>
      <c r="E1220" s="13" t="s">
        <v>93</v>
      </c>
      <c r="F1220" s="17" t="s">
        <v>1405</v>
      </c>
      <c r="G1220" s="20" t="str">
        <f>HYPERLINK("http://semena-nn.ru/catalog/39/1284675","Фото")</f>
        <v>Фото</v>
      </c>
      <c r="H1220" s="18">
        <v>21.8</v>
      </c>
      <c r="I1220" s="27"/>
      <c r="J1220" s="13">
        <f>H1220*I1220</f>
        <v>0</v>
      </c>
    </row>
    <row r="1221" spans="1:10" ht="12" customHeight="1">
      <c r="A1221" s="13" t="s">
        <v>414</v>
      </c>
      <c r="B1221" s="13" t="s">
        <v>415</v>
      </c>
      <c r="C1221" s="13" t="s">
        <v>416</v>
      </c>
      <c r="D1221" s="13" t="s">
        <v>28</v>
      </c>
      <c r="E1221" s="13" t="s">
        <v>93</v>
      </c>
      <c r="F1221" s="13" t="s">
        <v>417</v>
      </c>
      <c r="G1221" s="20" t="str">
        <f>HYPERLINK("https://semena-nn.ru/catalog/39/999000010034","Фото")</f>
        <v>Фото</v>
      </c>
      <c r="H1221" s="19">
        <v>21.63</v>
      </c>
      <c r="I1221" s="27"/>
      <c r="J1221" s="13">
        <f>H1221*I1221</f>
        <v>0</v>
      </c>
    </row>
    <row r="1222" spans="1:10" ht="12" customHeight="1">
      <c r="A1222" s="13" t="s">
        <v>4010</v>
      </c>
      <c r="B1222" s="13" t="s">
        <v>4011</v>
      </c>
      <c r="C1222" s="13" t="s">
        <v>416</v>
      </c>
      <c r="D1222" s="13" t="s">
        <v>3475</v>
      </c>
      <c r="E1222" s="13" t="s">
        <v>93</v>
      </c>
      <c r="F1222" s="13" t="s">
        <v>4012</v>
      </c>
      <c r="G1222" s="20" t="str">
        <f>HYPERLINK("http://semena-nn.ru/catalog/39/999000004936","Фото")</f>
        <v>Фото</v>
      </c>
      <c r="H1222" s="18">
        <v>28.2</v>
      </c>
      <c r="I1222" s="27"/>
      <c r="J1222" s="13">
        <f>H1222*I1222</f>
        <v>0</v>
      </c>
    </row>
    <row r="1223" spans="1:10" ht="12" customHeight="1">
      <c r="A1223" s="13" t="s">
        <v>1406</v>
      </c>
      <c r="B1223" s="13" t="s">
        <v>1407</v>
      </c>
      <c r="C1223" s="13" t="s">
        <v>416</v>
      </c>
      <c r="D1223" s="13" t="s">
        <v>697</v>
      </c>
      <c r="E1223" s="13" t="s">
        <v>93</v>
      </c>
      <c r="F1223" s="13" t="s">
        <v>1408</v>
      </c>
      <c r="G1223" s="20" t="str">
        <f>HYPERLINK("https://semena-nn.ru/catalog/39/1122315","Фото")</f>
        <v>Фото</v>
      </c>
      <c r="H1223" s="18">
        <v>36.799999999999997</v>
      </c>
      <c r="I1223" s="27"/>
      <c r="J1223" s="13">
        <f>H1223*I1223</f>
        <v>0</v>
      </c>
    </row>
    <row r="1224" spans="1:10" ht="12" customHeight="1">
      <c r="A1224" s="13" t="s">
        <v>4013</v>
      </c>
      <c r="B1224" s="13" t="s">
        <v>4014</v>
      </c>
      <c r="C1224" s="13" t="s">
        <v>416</v>
      </c>
      <c r="D1224" s="13" t="s">
        <v>3475</v>
      </c>
      <c r="E1224" s="13" t="s">
        <v>93</v>
      </c>
      <c r="F1224" s="13" t="s">
        <v>4015</v>
      </c>
      <c r="G1224" s="20" t="str">
        <f>HYPERLINK("https://semena-nn.ru/catalog/39/999000009364","Фото")</f>
        <v>Фото</v>
      </c>
      <c r="H1224" s="18">
        <v>18.7</v>
      </c>
      <c r="I1224" s="27"/>
      <c r="J1224" s="13">
        <f>H1224*I1224</f>
        <v>0</v>
      </c>
    </row>
    <row r="1225" spans="1:10" ht="12" customHeight="1">
      <c r="A1225" s="13" t="s">
        <v>8875</v>
      </c>
      <c r="B1225" s="13" t="s">
        <v>8876</v>
      </c>
      <c r="C1225" s="13" t="s">
        <v>416</v>
      </c>
      <c r="D1225" s="13" t="s">
        <v>8717</v>
      </c>
      <c r="E1225" s="13" t="s">
        <v>93</v>
      </c>
      <c r="F1225" s="13" t="s">
        <v>8877</v>
      </c>
      <c r="G1225" s="20" t="str">
        <f>HYPERLINK("https://semena-nn.ru/catalog/39/999000007732","Фото")</f>
        <v>Фото</v>
      </c>
      <c r="H1225" s="18">
        <v>28.9</v>
      </c>
      <c r="I1225" s="27"/>
      <c r="J1225" s="13">
        <f>H1225*I1225</f>
        <v>0</v>
      </c>
    </row>
    <row r="1226" spans="1:10" ht="12" customHeight="1">
      <c r="A1226" s="13" t="s">
        <v>1409</v>
      </c>
      <c r="B1226" s="13" t="s">
        <v>1410</v>
      </c>
      <c r="C1226" s="13" t="s">
        <v>416</v>
      </c>
      <c r="D1226" s="13" t="s">
        <v>697</v>
      </c>
      <c r="E1226" s="13" t="s">
        <v>93</v>
      </c>
      <c r="F1226" s="13" t="s">
        <v>1411</v>
      </c>
      <c r="G1226" s="20" t="str">
        <f>HYPERLINK("http://semena-nn.ru/catalog/39/99272","Фото")</f>
        <v>Фото</v>
      </c>
      <c r="H1226" s="18">
        <v>20.7</v>
      </c>
      <c r="I1226" s="27"/>
      <c r="J1226" s="13">
        <f>H1226*I1226</f>
        <v>0</v>
      </c>
    </row>
    <row r="1227" spans="1:10" ht="12" customHeight="1">
      <c r="A1227" s="13" t="s">
        <v>1412</v>
      </c>
      <c r="B1227" s="13" t="s">
        <v>1413</v>
      </c>
      <c r="C1227" s="13" t="s">
        <v>416</v>
      </c>
      <c r="D1227" s="13" t="s">
        <v>697</v>
      </c>
      <c r="E1227" s="13" t="s">
        <v>93</v>
      </c>
      <c r="F1227" s="13" t="s">
        <v>1414</v>
      </c>
      <c r="G1227" s="20" t="str">
        <f>HYPERLINK("http://semena-nn.ru/catalog/39/1120466","Фото")</f>
        <v>Фото</v>
      </c>
      <c r="H1227" s="18">
        <v>21.8</v>
      </c>
      <c r="I1227" s="27"/>
      <c r="J1227" s="13">
        <f>H1227*I1227</f>
        <v>0</v>
      </c>
    </row>
    <row r="1228" spans="1:10" ht="12" customHeight="1">
      <c r="A1228" s="13" t="s">
        <v>1415</v>
      </c>
      <c r="B1228" s="13" t="s">
        <v>1416</v>
      </c>
      <c r="C1228" s="13" t="s">
        <v>416</v>
      </c>
      <c r="D1228" s="13" t="s">
        <v>697</v>
      </c>
      <c r="E1228" s="13" t="s">
        <v>93</v>
      </c>
      <c r="F1228" s="13" t="s">
        <v>1417</v>
      </c>
      <c r="G1228" s="20" t="str">
        <f>HYPERLINK("https://semena-nn.ru/catalog/39/999000008828","Фото")</f>
        <v>Фото</v>
      </c>
      <c r="H1228" s="15">
        <v>33</v>
      </c>
      <c r="I1228" s="27"/>
      <c r="J1228" s="13">
        <f>H1228*I1228</f>
        <v>0</v>
      </c>
    </row>
    <row r="1229" spans="1:10" ht="12" customHeight="1">
      <c r="A1229" s="13" t="s">
        <v>2911</v>
      </c>
      <c r="B1229" s="13" t="s">
        <v>2912</v>
      </c>
      <c r="C1229" s="13" t="s">
        <v>416</v>
      </c>
      <c r="D1229" s="13" t="s">
        <v>697</v>
      </c>
      <c r="E1229" s="13" t="s">
        <v>2636</v>
      </c>
      <c r="F1229" s="13" t="s">
        <v>2913</v>
      </c>
      <c r="G1229" s="20" t="str">
        <f>HYPERLINK("http://semena-nn.ru/catalog/39/1121023","Фото")</f>
        <v>Фото</v>
      </c>
      <c r="H1229" s="19">
        <v>8.9499999999999993</v>
      </c>
      <c r="I1229" s="27"/>
      <c r="J1229" s="13">
        <f>H1229*I1229</f>
        <v>0</v>
      </c>
    </row>
    <row r="1230" spans="1:10" ht="12" customHeight="1">
      <c r="A1230" s="13" t="s">
        <v>3293</v>
      </c>
      <c r="B1230" s="13" t="s">
        <v>3294</v>
      </c>
      <c r="C1230" s="13" t="s">
        <v>416</v>
      </c>
      <c r="D1230" s="13" t="s">
        <v>697</v>
      </c>
      <c r="E1230" s="13" t="s">
        <v>3064</v>
      </c>
      <c r="F1230" s="13" t="s">
        <v>3295</v>
      </c>
      <c r="G1230" s="20" t="str">
        <f>HYPERLINK("https://semena-nn.ru/catalog/39/1287481","Фото")</f>
        <v>Фото</v>
      </c>
      <c r="H1230" s="19">
        <v>12.65</v>
      </c>
      <c r="I1230" s="27"/>
      <c r="J1230" s="13">
        <f>H1230*I1230</f>
        <v>0</v>
      </c>
    </row>
    <row r="1231" spans="1:10" ht="12" customHeight="1">
      <c r="A1231" s="13" t="s">
        <v>3296</v>
      </c>
      <c r="B1231" s="13" t="s">
        <v>3297</v>
      </c>
      <c r="C1231" s="13" t="s">
        <v>416</v>
      </c>
      <c r="D1231" s="13" t="s">
        <v>697</v>
      </c>
      <c r="E1231" s="13" t="s">
        <v>3064</v>
      </c>
      <c r="F1231" s="13" t="s">
        <v>3298</v>
      </c>
      <c r="G1231" s="20" t="str">
        <f>HYPERLINK("http://semena-nn.ru/catalog/39/1287482","Фото")</f>
        <v>Фото</v>
      </c>
      <c r="H1231" s="19">
        <v>12.65</v>
      </c>
      <c r="I1231" s="27"/>
      <c r="J1231" s="13">
        <f>H1231*I1231</f>
        <v>0</v>
      </c>
    </row>
    <row r="1232" spans="1:10" ht="12" customHeight="1">
      <c r="A1232" s="13" t="s">
        <v>2914</v>
      </c>
      <c r="B1232" s="13" t="s">
        <v>2915</v>
      </c>
      <c r="C1232" s="13" t="s">
        <v>416</v>
      </c>
      <c r="D1232" s="13" t="s">
        <v>697</v>
      </c>
      <c r="E1232" s="13" t="s">
        <v>2636</v>
      </c>
      <c r="F1232" s="13" t="s">
        <v>2916</v>
      </c>
      <c r="G1232" s="20" t="str">
        <f>HYPERLINK("http://semena-nn.ru/catalog/39/3107","Фото")</f>
        <v>Фото</v>
      </c>
      <c r="H1232" s="18">
        <v>9.4</v>
      </c>
      <c r="I1232" s="27"/>
      <c r="J1232" s="13">
        <f>H1232*I1232</f>
        <v>0</v>
      </c>
    </row>
    <row r="1233" spans="1:10" ht="12" customHeight="1">
      <c r="A1233" s="13" t="s">
        <v>3299</v>
      </c>
      <c r="B1233" s="13" t="s">
        <v>3300</v>
      </c>
      <c r="C1233" s="13" t="s">
        <v>416</v>
      </c>
      <c r="D1233" s="13" t="s">
        <v>697</v>
      </c>
      <c r="E1233" s="13" t="s">
        <v>3064</v>
      </c>
      <c r="F1233" s="13" t="s">
        <v>3301</v>
      </c>
      <c r="G1233" s="20" t="str">
        <f>HYPERLINK("https://semena-nn.ru/catalog/39/1288658","Фото")</f>
        <v>Фото</v>
      </c>
      <c r="H1233" s="19">
        <v>12.65</v>
      </c>
      <c r="I1233" s="27"/>
      <c r="J1233" s="13">
        <f>H1233*I1233</f>
        <v>0</v>
      </c>
    </row>
    <row r="1234" spans="1:10" ht="12" customHeight="1">
      <c r="A1234" s="13" t="s">
        <v>2917</v>
      </c>
      <c r="B1234" s="13" t="s">
        <v>2918</v>
      </c>
      <c r="C1234" s="13" t="s">
        <v>416</v>
      </c>
      <c r="D1234" s="13" t="s">
        <v>697</v>
      </c>
      <c r="E1234" s="13" t="s">
        <v>2636</v>
      </c>
      <c r="F1234" s="13" t="s">
        <v>2919</v>
      </c>
      <c r="G1234" s="20" t="str">
        <f>HYPERLINK("http://semena-nn.ru/catalog/39/3108","Фото")</f>
        <v>Фото</v>
      </c>
      <c r="H1234" s="19">
        <v>7.85</v>
      </c>
      <c r="I1234" s="27"/>
      <c r="J1234" s="13">
        <f>H1234*I1234</f>
        <v>0</v>
      </c>
    </row>
    <row r="1235" spans="1:10" ht="12" customHeight="1">
      <c r="A1235" s="13" t="s">
        <v>7322</v>
      </c>
      <c r="B1235" s="13" t="s">
        <v>7323</v>
      </c>
      <c r="C1235" s="13" t="s">
        <v>416</v>
      </c>
      <c r="D1235" s="13" t="s">
        <v>7148</v>
      </c>
      <c r="E1235" s="13" t="s">
        <v>93</v>
      </c>
      <c r="F1235" s="13" t="s">
        <v>7324</v>
      </c>
      <c r="G1235" s="20" t="str">
        <f>HYPERLINK("https://semena-nn.ru/catalog/39/888000007622","Фото")</f>
        <v>Фото</v>
      </c>
      <c r="H1235" s="18">
        <v>85.7</v>
      </c>
      <c r="I1235" s="27"/>
      <c r="J1235" s="13">
        <f>H1235*I1235</f>
        <v>0</v>
      </c>
    </row>
    <row r="1236" spans="1:10" ht="12" customHeight="1">
      <c r="A1236" s="13" t="s">
        <v>1418</v>
      </c>
      <c r="B1236" s="13" t="s">
        <v>1419</v>
      </c>
      <c r="C1236" s="13" t="s">
        <v>416</v>
      </c>
      <c r="D1236" s="13" t="s">
        <v>697</v>
      </c>
      <c r="E1236" s="13" t="s">
        <v>93</v>
      </c>
      <c r="F1236" s="13" t="s">
        <v>1420</v>
      </c>
      <c r="G1236" s="20" t="str">
        <f>HYPERLINK("https://semena-nn.ru/catalog/39/1115969","Фото")</f>
        <v>Фото</v>
      </c>
      <c r="H1236" s="18">
        <v>19.3</v>
      </c>
      <c r="I1236" s="27"/>
      <c r="J1236" s="13">
        <f>H1236*I1236</f>
        <v>0</v>
      </c>
    </row>
    <row r="1237" spans="1:10" ht="12" customHeight="1">
      <c r="A1237" s="13" t="s">
        <v>1421</v>
      </c>
      <c r="B1237" s="13" t="s">
        <v>1422</v>
      </c>
      <c r="C1237" s="13" t="s">
        <v>416</v>
      </c>
      <c r="D1237" s="13" t="s">
        <v>697</v>
      </c>
      <c r="E1237" s="13" t="s">
        <v>93</v>
      </c>
      <c r="F1237" s="13" t="s">
        <v>1423</v>
      </c>
      <c r="G1237" s="20" t="str">
        <f>HYPERLINK("https://semena-nn.ru/catalog/39/888000007514","Фото")</f>
        <v>Фото</v>
      </c>
      <c r="H1237" s="18">
        <v>18.3</v>
      </c>
      <c r="I1237" s="27"/>
      <c r="J1237" s="13">
        <f>H1237*I1237</f>
        <v>0</v>
      </c>
    </row>
    <row r="1238" spans="1:10" ht="12" customHeight="1">
      <c r="A1238" s="13" t="s">
        <v>3302</v>
      </c>
      <c r="B1238" s="13" t="s">
        <v>3303</v>
      </c>
      <c r="C1238" s="13" t="s">
        <v>416</v>
      </c>
      <c r="D1238" s="13" t="s">
        <v>697</v>
      </c>
      <c r="E1238" s="13" t="s">
        <v>3064</v>
      </c>
      <c r="F1238" s="13" t="s">
        <v>3304</v>
      </c>
      <c r="G1238" s="20" t="str">
        <f>HYPERLINK("http://semena-nn.ru/catalog/39/1298452","Фото")</f>
        <v>Фото</v>
      </c>
      <c r="H1238" s="19">
        <v>12.65</v>
      </c>
      <c r="I1238" s="27"/>
      <c r="J1238" s="13">
        <f>H1238*I1238</f>
        <v>0</v>
      </c>
    </row>
    <row r="1239" spans="1:10" ht="12" customHeight="1">
      <c r="A1239" s="13" t="s">
        <v>4016</v>
      </c>
      <c r="B1239" s="13" t="s">
        <v>4017</v>
      </c>
      <c r="C1239" s="13" t="s">
        <v>416</v>
      </c>
      <c r="D1239" s="13" t="s">
        <v>3475</v>
      </c>
      <c r="E1239" s="13" t="s">
        <v>93</v>
      </c>
      <c r="F1239" s="13" t="s">
        <v>4018</v>
      </c>
      <c r="G1239" s="20" t="str">
        <f>HYPERLINK("https://semena-nn.ru/catalog/39/1120080","Фото")</f>
        <v>Фото</v>
      </c>
      <c r="H1239" s="18">
        <v>18.7</v>
      </c>
      <c r="I1239" s="27"/>
      <c r="J1239" s="13">
        <f>H1239*I1239</f>
        <v>0</v>
      </c>
    </row>
    <row r="1240" spans="1:10" ht="12" customHeight="1">
      <c r="A1240" s="13" t="s">
        <v>3305</v>
      </c>
      <c r="B1240" s="13" t="s">
        <v>3306</v>
      </c>
      <c r="C1240" s="13" t="s">
        <v>416</v>
      </c>
      <c r="D1240" s="13" t="s">
        <v>697</v>
      </c>
      <c r="E1240" s="13" t="s">
        <v>3064</v>
      </c>
      <c r="F1240" s="13" t="s">
        <v>3307</v>
      </c>
      <c r="G1240" s="20" t="str">
        <f>HYPERLINK("http://semena-nn.ru/catalog/39/1301025","Фото")</f>
        <v>Фото</v>
      </c>
      <c r="H1240" s="19">
        <v>12.65</v>
      </c>
      <c r="I1240" s="27"/>
      <c r="J1240" s="13">
        <f>H1240*I1240</f>
        <v>0</v>
      </c>
    </row>
    <row r="1241" spans="1:10" ht="12" customHeight="1">
      <c r="A1241" s="13" t="s">
        <v>3308</v>
      </c>
      <c r="B1241" s="13" t="s">
        <v>3309</v>
      </c>
      <c r="C1241" s="13" t="s">
        <v>416</v>
      </c>
      <c r="D1241" s="13" t="s">
        <v>697</v>
      </c>
      <c r="E1241" s="13" t="s">
        <v>3064</v>
      </c>
      <c r="F1241" s="13" t="s">
        <v>3310</v>
      </c>
      <c r="G1241" s="20" t="str">
        <f>HYPERLINK("https://semena-nn.ru/catalog/39/1289862","Фото")</f>
        <v>Фото</v>
      </c>
      <c r="H1241" s="18">
        <v>13.5</v>
      </c>
      <c r="I1241" s="27"/>
      <c r="J1241" s="13">
        <f>H1241*I1241</f>
        <v>0</v>
      </c>
    </row>
    <row r="1242" spans="1:10" ht="12" customHeight="1">
      <c r="A1242" s="13" t="s">
        <v>7325</v>
      </c>
      <c r="B1242" s="13" t="s">
        <v>7326</v>
      </c>
      <c r="C1242" s="13" t="s">
        <v>416</v>
      </c>
      <c r="D1242" s="13" t="s">
        <v>7148</v>
      </c>
      <c r="E1242" s="13" t="s">
        <v>93</v>
      </c>
      <c r="F1242" s="13" t="s">
        <v>7327</v>
      </c>
      <c r="G1242" s="20" t="str">
        <f>HYPERLINK("https://semena-nn.ru/catalog/39/888000007464","Фото")</f>
        <v>Фото</v>
      </c>
      <c r="H1242" s="18">
        <v>79.400000000000006</v>
      </c>
      <c r="I1242" s="27"/>
      <c r="J1242" s="13">
        <f>H1242*I1242</f>
        <v>0</v>
      </c>
    </row>
    <row r="1243" spans="1:10" ht="12" customHeight="1">
      <c r="A1243" s="13" t="s">
        <v>1424</v>
      </c>
      <c r="B1243" s="13" t="s">
        <v>1425</v>
      </c>
      <c r="C1243" s="13" t="s">
        <v>416</v>
      </c>
      <c r="D1243" s="13" t="s">
        <v>697</v>
      </c>
      <c r="E1243" s="13" t="s">
        <v>93</v>
      </c>
      <c r="F1243" s="13" t="s">
        <v>1426</v>
      </c>
      <c r="G1243" s="20" t="str">
        <f>HYPERLINK("https://semena-nn.ru/catalog/39/1298487","Фото")</f>
        <v>Фото</v>
      </c>
      <c r="H1243" s="18">
        <v>20.7</v>
      </c>
      <c r="I1243" s="27"/>
      <c r="J1243" s="13">
        <f>H1243*I1243</f>
        <v>0</v>
      </c>
    </row>
    <row r="1244" spans="1:10" ht="12" customHeight="1">
      <c r="A1244" s="13" t="s">
        <v>4019</v>
      </c>
      <c r="B1244" s="13" t="s">
        <v>4020</v>
      </c>
      <c r="C1244" s="13" t="s">
        <v>416</v>
      </c>
      <c r="D1244" s="13" t="s">
        <v>3475</v>
      </c>
      <c r="E1244" s="13" t="s">
        <v>93</v>
      </c>
      <c r="F1244" s="13" t="s">
        <v>4021</v>
      </c>
      <c r="G1244" s="20" t="str">
        <f>HYPERLINK("https://semena-nn.ru/catalog/39/999000011638","Фото")</f>
        <v>Фото</v>
      </c>
      <c r="H1244" s="18">
        <v>18.5</v>
      </c>
      <c r="I1244" s="27"/>
      <c r="J1244" s="13">
        <f>H1244*I1244</f>
        <v>0</v>
      </c>
    </row>
    <row r="1245" spans="1:10" ht="12" customHeight="1">
      <c r="A1245" s="13" t="s">
        <v>1427</v>
      </c>
      <c r="B1245" s="13" t="s">
        <v>1428</v>
      </c>
      <c r="C1245" s="13" t="s">
        <v>416</v>
      </c>
      <c r="D1245" s="13" t="s">
        <v>697</v>
      </c>
      <c r="E1245" s="13" t="s">
        <v>93</v>
      </c>
      <c r="F1245" s="13" t="s">
        <v>1429</v>
      </c>
      <c r="G1245" s="20" t="str">
        <f>HYPERLINK("https://semena-nn.ru/catalog/39/888000007977","Фото")</f>
        <v>Фото</v>
      </c>
      <c r="H1245" s="19">
        <v>19.25</v>
      </c>
      <c r="I1245" s="27"/>
      <c r="J1245" s="13">
        <f>H1245*I1245</f>
        <v>0</v>
      </c>
    </row>
    <row r="1246" spans="1:10" ht="12" customHeight="1">
      <c r="A1246" s="13" t="s">
        <v>8878</v>
      </c>
      <c r="B1246" s="13" t="s">
        <v>8879</v>
      </c>
      <c r="C1246" s="13" t="s">
        <v>416</v>
      </c>
      <c r="D1246" s="13" t="s">
        <v>8717</v>
      </c>
      <c r="E1246" s="13" t="s">
        <v>93</v>
      </c>
      <c r="F1246" s="13" t="s">
        <v>8880</v>
      </c>
      <c r="G1246" s="20" t="str">
        <f>HYPERLINK("https://semena-nn.ru/catalog/39/999000012536","Фото")</f>
        <v>Фото</v>
      </c>
      <c r="H1246" s="15">
        <v>19</v>
      </c>
      <c r="I1246" s="27"/>
      <c r="J1246" s="13">
        <f>H1246*I1246</f>
        <v>0</v>
      </c>
    </row>
    <row r="1247" spans="1:10" ht="12" customHeight="1">
      <c r="A1247" s="13" t="s">
        <v>1430</v>
      </c>
      <c r="B1247" s="13" t="s">
        <v>1431</v>
      </c>
      <c r="C1247" s="13" t="s">
        <v>416</v>
      </c>
      <c r="D1247" s="13" t="s">
        <v>697</v>
      </c>
      <c r="E1247" s="13" t="s">
        <v>93</v>
      </c>
      <c r="F1247" s="13" t="s">
        <v>1432</v>
      </c>
      <c r="G1247" s="20" t="str">
        <f>HYPERLINK("http://semena-nn.ru/catalog/39/110638","Фото")</f>
        <v>Фото</v>
      </c>
      <c r="H1247" s="19">
        <v>18.649999999999999</v>
      </c>
      <c r="I1247" s="27"/>
      <c r="J1247" s="13">
        <f>H1247*I1247</f>
        <v>0</v>
      </c>
    </row>
    <row r="1248" spans="1:10" ht="12" customHeight="1">
      <c r="A1248" s="13" t="s">
        <v>1433</v>
      </c>
      <c r="B1248" s="13" t="s">
        <v>1434</v>
      </c>
      <c r="C1248" s="13" t="s">
        <v>416</v>
      </c>
      <c r="D1248" s="13" t="s">
        <v>697</v>
      </c>
      <c r="E1248" s="13" t="s">
        <v>93</v>
      </c>
      <c r="F1248" s="13" t="s">
        <v>1435</v>
      </c>
      <c r="G1248" s="20" t="str">
        <f>HYPERLINK("https://semena-nn.ru/catalog/39/106897","Фото")</f>
        <v>Фото</v>
      </c>
      <c r="H1248" s="19">
        <v>19.25</v>
      </c>
      <c r="I1248" s="27"/>
      <c r="J1248" s="13">
        <f>H1248*I1248</f>
        <v>0</v>
      </c>
    </row>
    <row r="1249" spans="1:10" ht="12" customHeight="1">
      <c r="A1249" s="13" t="s">
        <v>6525</v>
      </c>
      <c r="B1249" s="13" t="s">
        <v>6526</v>
      </c>
      <c r="C1249" s="13" t="s">
        <v>416</v>
      </c>
      <c r="D1249" s="13" t="s">
        <v>87</v>
      </c>
      <c r="E1249" s="13" t="s">
        <v>93</v>
      </c>
      <c r="F1249" s="13" t="s">
        <v>6527</v>
      </c>
      <c r="G1249" s="20" t="str">
        <f>HYPERLINK("https://semena-nn.ru/catalog/39/1313497","Фото")</f>
        <v>Фото</v>
      </c>
      <c r="H1249" s="18">
        <v>18.3</v>
      </c>
      <c r="I1249" s="27"/>
      <c r="J1249" s="13">
        <f>H1249*I1249</f>
        <v>0</v>
      </c>
    </row>
    <row r="1250" spans="1:10" ht="12" customHeight="1">
      <c r="A1250" s="13" t="s">
        <v>1436</v>
      </c>
      <c r="B1250" s="13" t="s">
        <v>1437</v>
      </c>
      <c r="C1250" s="13" t="s">
        <v>416</v>
      </c>
      <c r="D1250" s="13" t="s">
        <v>697</v>
      </c>
      <c r="E1250" s="13" t="s">
        <v>93</v>
      </c>
      <c r="F1250" s="13" t="s">
        <v>1438</v>
      </c>
      <c r="G1250" s="20" t="str">
        <f>HYPERLINK("https://semena-nn.ru/catalog/39/999000020534","Фото")</f>
        <v>Фото</v>
      </c>
      <c r="H1250" s="19">
        <v>33.15</v>
      </c>
      <c r="I1250" s="27"/>
      <c r="J1250" s="13">
        <f>H1250*I1250</f>
        <v>0</v>
      </c>
    </row>
    <row r="1251" spans="1:10" ht="12" customHeight="1">
      <c r="A1251" s="13" t="s">
        <v>1439</v>
      </c>
      <c r="B1251" s="13" t="s">
        <v>1440</v>
      </c>
      <c r="C1251" s="13" t="s">
        <v>416</v>
      </c>
      <c r="D1251" s="13" t="s">
        <v>697</v>
      </c>
      <c r="E1251" s="13" t="s">
        <v>93</v>
      </c>
      <c r="F1251" s="13" t="s">
        <v>1441</v>
      </c>
      <c r="G1251" s="20" t="str">
        <f>HYPERLINK("https://semena-nn.ru/catalog/39/80812","Фото")</f>
        <v>Фото</v>
      </c>
      <c r="H1251" s="18">
        <v>19.7</v>
      </c>
      <c r="I1251" s="27"/>
      <c r="J1251" s="13">
        <f>H1251*I1251</f>
        <v>0</v>
      </c>
    </row>
    <row r="1252" spans="1:10" ht="12" customHeight="1">
      <c r="A1252" s="13" t="s">
        <v>3311</v>
      </c>
      <c r="B1252" s="13" t="s">
        <v>3312</v>
      </c>
      <c r="C1252" s="13" t="s">
        <v>416</v>
      </c>
      <c r="D1252" s="13" t="s">
        <v>697</v>
      </c>
      <c r="E1252" s="13" t="s">
        <v>3064</v>
      </c>
      <c r="F1252" s="13" t="s">
        <v>3313</v>
      </c>
      <c r="G1252" s="20" t="str">
        <f>HYPERLINK("http://semena-nn.ru/catalog/39/1314437","Фото")</f>
        <v>Фото</v>
      </c>
      <c r="H1252" s="19">
        <v>12.65</v>
      </c>
      <c r="I1252" s="27"/>
      <c r="J1252" s="13">
        <f>H1252*I1252</f>
        <v>0</v>
      </c>
    </row>
    <row r="1253" spans="1:10" ht="12" customHeight="1">
      <c r="A1253" s="13" t="s">
        <v>1442</v>
      </c>
      <c r="B1253" s="13" t="s">
        <v>1443</v>
      </c>
      <c r="C1253" s="13" t="s">
        <v>416</v>
      </c>
      <c r="D1253" s="13" t="s">
        <v>697</v>
      </c>
      <c r="E1253" s="13" t="s">
        <v>93</v>
      </c>
      <c r="F1253" s="13" t="s">
        <v>1444</v>
      </c>
      <c r="G1253" s="20" t="str">
        <f>HYPERLINK("https://semena-nn.ru/catalog/39/1309938","Фото")</f>
        <v>Фото</v>
      </c>
      <c r="H1253" s="19">
        <v>19.25</v>
      </c>
      <c r="I1253" s="27"/>
      <c r="J1253" s="13">
        <f>H1253*I1253</f>
        <v>0</v>
      </c>
    </row>
    <row r="1254" spans="1:10" ht="12" customHeight="1">
      <c r="A1254" s="13" t="s">
        <v>1445</v>
      </c>
      <c r="B1254" s="13" t="s">
        <v>1446</v>
      </c>
      <c r="C1254" s="13" t="s">
        <v>416</v>
      </c>
      <c r="D1254" s="13" t="s">
        <v>697</v>
      </c>
      <c r="E1254" s="13" t="s">
        <v>93</v>
      </c>
      <c r="F1254" s="13" t="s">
        <v>1447</v>
      </c>
      <c r="G1254" s="20" t="str">
        <f>HYPERLINK("http://semena-nn.ru/catalog/39/1312556","Фото")</f>
        <v>Фото</v>
      </c>
      <c r="H1254" s="18">
        <v>19.7</v>
      </c>
      <c r="I1254" s="27"/>
      <c r="J1254" s="13">
        <f>H1254*I1254</f>
        <v>0</v>
      </c>
    </row>
    <row r="1255" spans="1:10" ht="12" customHeight="1">
      <c r="A1255" s="13" t="s">
        <v>1448</v>
      </c>
      <c r="B1255" s="13" t="s">
        <v>1449</v>
      </c>
      <c r="C1255" s="13" t="s">
        <v>416</v>
      </c>
      <c r="D1255" s="13" t="s">
        <v>697</v>
      </c>
      <c r="E1255" s="13" t="s">
        <v>93</v>
      </c>
      <c r="F1255" s="13" t="s">
        <v>1450</v>
      </c>
      <c r="G1255" s="20" t="str">
        <f>HYPERLINK("https://semena-nn.ru/catalog/39/1289771","Фото")</f>
        <v>Фото</v>
      </c>
      <c r="H1255" s="19">
        <v>19.25</v>
      </c>
      <c r="I1255" s="27"/>
      <c r="J1255" s="13">
        <f>H1255*I1255</f>
        <v>0</v>
      </c>
    </row>
    <row r="1256" spans="1:10" ht="12" customHeight="1">
      <c r="A1256" s="13" t="s">
        <v>2920</v>
      </c>
      <c r="B1256" s="13" t="s">
        <v>2921</v>
      </c>
      <c r="C1256" s="13" t="s">
        <v>416</v>
      </c>
      <c r="D1256" s="13" t="s">
        <v>697</v>
      </c>
      <c r="E1256" s="13" t="s">
        <v>2636</v>
      </c>
      <c r="F1256" s="13" t="s">
        <v>2922</v>
      </c>
      <c r="G1256" s="20" t="str">
        <f>HYPERLINK("http://semena-nn.ru/catalog/39/3109","Фото")</f>
        <v>Фото</v>
      </c>
      <c r="H1256" s="18">
        <v>9.4</v>
      </c>
      <c r="I1256" s="27"/>
      <c r="J1256" s="13">
        <f>H1256*I1256</f>
        <v>0</v>
      </c>
    </row>
    <row r="1257" spans="1:10" ht="12" customHeight="1">
      <c r="A1257" s="13" t="s">
        <v>3314</v>
      </c>
      <c r="B1257" s="13" t="s">
        <v>3315</v>
      </c>
      <c r="C1257" s="13" t="s">
        <v>416</v>
      </c>
      <c r="D1257" s="13" t="s">
        <v>697</v>
      </c>
      <c r="E1257" s="13" t="s">
        <v>3064</v>
      </c>
      <c r="F1257" s="13" t="s">
        <v>3316</v>
      </c>
      <c r="G1257" s="20" t="str">
        <f>HYPERLINK("https://semena-nn.ru/catalog/39/1288965","Фото")</f>
        <v>Фото</v>
      </c>
      <c r="H1257" s="19">
        <v>12.65</v>
      </c>
      <c r="I1257" s="27"/>
      <c r="J1257" s="13">
        <f>H1257*I1257</f>
        <v>0</v>
      </c>
    </row>
    <row r="1258" spans="1:10" ht="12" customHeight="1">
      <c r="A1258" s="13" t="s">
        <v>6528</v>
      </c>
      <c r="B1258" s="13" t="s">
        <v>6529</v>
      </c>
      <c r="C1258" s="13" t="s">
        <v>416</v>
      </c>
      <c r="D1258" s="13" t="s">
        <v>87</v>
      </c>
      <c r="E1258" s="13" t="s">
        <v>93</v>
      </c>
      <c r="F1258" s="13" t="s">
        <v>6530</v>
      </c>
      <c r="G1258" s="20" t="str">
        <f>HYPERLINK("https://semena-nn.ru/catalog/39/999000012288","Фото")</f>
        <v>Фото</v>
      </c>
      <c r="H1258" s="18">
        <v>18.8</v>
      </c>
      <c r="I1258" s="27"/>
      <c r="J1258" s="13">
        <f>H1258*I1258</f>
        <v>0</v>
      </c>
    </row>
    <row r="1259" spans="1:10" ht="12" customHeight="1">
      <c r="A1259" s="13" t="s">
        <v>3317</v>
      </c>
      <c r="B1259" s="13" t="s">
        <v>3318</v>
      </c>
      <c r="C1259" s="13" t="s">
        <v>416</v>
      </c>
      <c r="D1259" s="13" t="s">
        <v>697</v>
      </c>
      <c r="E1259" s="13" t="s">
        <v>3064</v>
      </c>
      <c r="F1259" s="13" t="s">
        <v>3319</v>
      </c>
      <c r="G1259" s="20" t="str">
        <f>HYPERLINK("http://semena-nn.ru/catalog/39/1288659","Фото")</f>
        <v>Фото</v>
      </c>
      <c r="H1259" s="19">
        <v>12.05</v>
      </c>
      <c r="I1259" s="27"/>
      <c r="J1259" s="13">
        <f>H1259*I1259</f>
        <v>0</v>
      </c>
    </row>
    <row r="1260" spans="1:10" ht="12" customHeight="1">
      <c r="A1260" s="13" t="s">
        <v>2923</v>
      </c>
      <c r="B1260" s="13" t="s">
        <v>2924</v>
      </c>
      <c r="C1260" s="13" t="s">
        <v>416</v>
      </c>
      <c r="D1260" s="13" t="s">
        <v>697</v>
      </c>
      <c r="E1260" s="13" t="s">
        <v>2636</v>
      </c>
      <c r="F1260" s="17" t="s">
        <v>2925</v>
      </c>
      <c r="G1260" s="20" t="str">
        <f>HYPERLINK("http://semena-nn.ru/catalog/39/3110","Фото")</f>
        <v>Фото</v>
      </c>
      <c r="H1260" s="19">
        <v>8.9499999999999993</v>
      </c>
      <c r="I1260" s="27"/>
      <c r="J1260" s="13">
        <f>H1260*I1260</f>
        <v>0</v>
      </c>
    </row>
    <row r="1261" spans="1:10" ht="12" customHeight="1">
      <c r="A1261" s="13" t="s">
        <v>1451</v>
      </c>
      <c r="B1261" s="13" t="s">
        <v>1452</v>
      </c>
      <c r="C1261" s="13" t="s">
        <v>416</v>
      </c>
      <c r="D1261" s="13" t="s">
        <v>697</v>
      </c>
      <c r="E1261" s="13" t="s">
        <v>93</v>
      </c>
      <c r="F1261" s="13" t="s">
        <v>1453</v>
      </c>
      <c r="G1261" s="20" t="str">
        <f>HYPERLINK("https://semena-nn.ru/catalog/39/80803","Фото")</f>
        <v>Фото</v>
      </c>
      <c r="H1261" s="18">
        <v>19.7</v>
      </c>
      <c r="I1261" s="27"/>
      <c r="J1261" s="13">
        <f>H1261*I1261</f>
        <v>0</v>
      </c>
    </row>
    <row r="1262" spans="1:10" ht="12" customHeight="1">
      <c r="A1262" s="13" t="s">
        <v>3320</v>
      </c>
      <c r="B1262" s="13" t="s">
        <v>3321</v>
      </c>
      <c r="C1262" s="13" t="s">
        <v>416</v>
      </c>
      <c r="D1262" s="13" t="s">
        <v>697</v>
      </c>
      <c r="E1262" s="13" t="s">
        <v>3064</v>
      </c>
      <c r="F1262" s="13" t="s">
        <v>3322</v>
      </c>
      <c r="G1262" s="20" t="str">
        <f>HYPERLINK("https://semena-nn.ru/catalog/39/1288660","Фото")</f>
        <v>Фото</v>
      </c>
      <c r="H1262" s="19">
        <v>12.65</v>
      </c>
      <c r="I1262" s="27"/>
      <c r="J1262" s="13">
        <f>H1262*I1262</f>
        <v>0</v>
      </c>
    </row>
    <row r="1263" spans="1:10" ht="12" customHeight="1">
      <c r="A1263" s="13" t="s">
        <v>2926</v>
      </c>
      <c r="B1263" s="13" t="s">
        <v>2927</v>
      </c>
      <c r="C1263" s="13" t="s">
        <v>416</v>
      </c>
      <c r="D1263" s="13" t="s">
        <v>697</v>
      </c>
      <c r="E1263" s="13" t="s">
        <v>2636</v>
      </c>
      <c r="F1263" s="13" t="s">
        <v>2928</v>
      </c>
      <c r="G1263" s="20" t="str">
        <f>HYPERLINK("http://semena-nn.ru/catalog/39/3111","Фото")</f>
        <v>Фото</v>
      </c>
      <c r="H1263" s="19">
        <v>8.9499999999999993</v>
      </c>
      <c r="I1263" s="27"/>
      <c r="J1263" s="13">
        <f>H1263*I1263</f>
        <v>0</v>
      </c>
    </row>
    <row r="1264" spans="1:10" ht="12" customHeight="1">
      <c r="A1264" s="13" t="s">
        <v>1454</v>
      </c>
      <c r="B1264" s="13" t="s">
        <v>1455</v>
      </c>
      <c r="C1264" s="13" t="s">
        <v>416</v>
      </c>
      <c r="D1264" s="13" t="s">
        <v>697</v>
      </c>
      <c r="E1264" s="13" t="s">
        <v>93</v>
      </c>
      <c r="F1264" s="13" t="s">
        <v>1456</v>
      </c>
      <c r="G1264" s="20" t="str">
        <f>HYPERLINK("https://semena-nn.ru/catalog/39/99429","Фото")</f>
        <v>Фото</v>
      </c>
      <c r="H1264" s="18">
        <v>18.3</v>
      </c>
      <c r="I1264" s="27"/>
      <c r="J1264" s="13">
        <f>H1264*I1264</f>
        <v>0</v>
      </c>
    </row>
    <row r="1265" spans="1:10" ht="12" customHeight="1">
      <c r="A1265" s="13" t="s">
        <v>7328</v>
      </c>
      <c r="B1265" s="13" t="s">
        <v>7329</v>
      </c>
      <c r="C1265" s="13" t="s">
        <v>416</v>
      </c>
      <c r="D1265" s="13" t="s">
        <v>7148</v>
      </c>
      <c r="E1265" s="13" t="s">
        <v>93</v>
      </c>
      <c r="F1265" s="13" t="s">
        <v>7330</v>
      </c>
      <c r="G1265" s="20" t="str">
        <f>HYPERLINK("https://semena-nn.ru/catalog/39/999000009533","Фото")</f>
        <v>Фото</v>
      </c>
      <c r="H1265" s="18">
        <v>85.7</v>
      </c>
      <c r="I1265" s="27"/>
      <c r="J1265" s="13">
        <f>H1265*I1265</f>
        <v>0</v>
      </c>
    </row>
    <row r="1266" spans="1:10" ht="12" customHeight="1">
      <c r="A1266" s="13" t="s">
        <v>4022</v>
      </c>
      <c r="B1266" s="13" t="s">
        <v>4023</v>
      </c>
      <c r="C1266" s="13" t="s">
        <v>416</v>
      </c>
      <c r="D1266" s="13" t="s">
        <v>3475</v>
      </c>
      <c r="E1266" s="13" t="s">
        <v>93</v>
      </c>
      <c r="F1266" s="13" t="s">
        <v>4024</v>
      </c>
      <c r="G1266" s="20" t="str">
        <f>HYPERLINK("http://semena-nn.ru/catalog/39/1123924","Фото")</f>
        <v>Фото</v>
      </c>
      <c r="H1266" s="19">
        <v>23.15</v>
      </c>
      <c r="I1266" s="27"/>
      <c r="J1266" s="13">
        <f>H1266*I1266</f>
        <v>0</v>
      </c>
    </row>
    <row r="1267" spans="1:10" ht="12" customHeight="1">
      <c r="A1267" s="13" t="s">
        <v>1457</v>
      </c>
      <c r="B1267" s="13" t="s">
        <v>1458</v>
      </c>
      <c r="C1267" s="13" t="s">
        <v>416</v>
      </c>
      <c r="D1267" s="13" t="s">
        <v>697</v>
      </c>
      <c r="E1267" s="13" t="s">
        <v>93</v>
      </c>
      <c r="F1267" s="13" t="s">
        <v>1459</v>
      </c>
      <c r="G1267" s="20" t="str">
        <f>HYPERLINK("https://semena-nn.ru/catalog/39/99315","Фото")</f>
        <v>Фото</v>
      </c>
      <c r="H1267" s="19">
        <v>38.950000000000003</v>
      </c>
      <c r="I1267" s="27"/>
      <c r="J1267" s="13">
        <f>H1267*I1267</f>
        <v>0</v>
      </c>
    </row>
    <row r="1268" spans="1:10" ht="12" customHeight="1">
      <c r="A1268" s="13" t="s">
        <v>8075</v>
      </c>
      <c r="B1268" s="13" t="s">
        <v>8076</v>
      </c>
      <c r="C1268" s="13" t="s">
        <v>416</v>
      </c>
      <c r="D1268" s="13" t="s">
        <v>7728</v>
      </c>
      <c r="E1268" s="13" t="s">
        <v>93</v>
      </c>
      <c r="F1268" s="13" t="s">
        <v>8077</v>
      </c>
      <c r="G1268" s="20" t="str">
        <f>HYPERLINK("http://semena-nn.ru/catalog/39/1286910","Фото")</f>
        <v>Фото</v>
      </c>
      <c r="H1268" s="18">
        <v>23.7</v>
      </c>
      <c r="I1268" s="27"/>
      <c r="J1268" s="13">
        <f>H1268*I1268</f>
        <v>0</v>
      </c>
    </row>
    <row r="1269" spans="1:10" ht="12" customHeight="1">
      <c r="A1269" s="13" t="s">
        <v>6531</v>
      </c>
      <c r="B1269" s="13" t="s">
        <v>6532</v>
      </c>
      <c r="C1269" s="13" t="s">
        <v>416</v>
      </c>
      <c r="D1269" s="13" t="s">
        <v>87</v>
      </c>
      <c r="E1269" s="13" t="s">
        <v>93</v>
      </c>
      <c r="F1269" s="13" t="s">
        <v>1462</v>
      </c>
      <c r="G1269" s="20" t="str">
        <f>HYPERLINK("https://semena-nn.ru/catalog/39/1122232","Фото")</f>
        <v>Фото</v>
      </c>
      <c r="H1269" s="19">
        <v>17.75</v>
      </c>
      <c r="I1269" s="27"/>
      <c r="J1269" s="13">
        <f>H1269*I1269</f>
        <v>0</v>
      </c>
    </row>
    <row r="1270" spans="1:10" ht="12" customHeight="1">
      <c r="A1270" s="13" t="s">
        <v>1460</v>
      </c>
      <c r="B1270" s="13" t="s">
        <v>1461</v>
      </c>
      <c r="C1270" s="13" t="s">
        <v>416</v>
      </c>
      <c r="D1270" s="13" t="s">
        <v>697</v>
      </c>
      <c r="E1270" s="13" t="s">
        <v>93</v>
      </c>
      <c r="F1270" s="13" t="s">
        <v>1462</v>
      </c>
      <c r="G1270" s="20" t="str">
        <f>HYPERLINK("https://semena-nn.ru/catalog/39/95744","Фото")</f>
        <v>Фото</v>
      </c>
      <c r="H1270" s="18">
        <v>18.3</v>
      </c>
      <c r="I1270" s="27"/>
      <c r="J1270" s="13">
        <f>H1270*I1270</f>
        <v>0</v>
      </c>
    </row>
    <row r="1271" spans="1:10" ht="12" customHeight="1">
      <c r="A1271" s="13" t="s">
        <v>4025</v>
      </c>
      <c r="B1271" s="13" t="s">
        <v>4026</v>
      </c>
      <c r="C1271" s="13" t="s">
        <v>416</v>
      </c>
      <c r="D1271" s="13" t="s">
        <v>3475</v>
      </c>
      <c r="E1271" s="13" t="s">
        <v>93</v>
      </c>
      <c r="F1271" s="13" t="s">
        <v>4027</v>
      </c>
      <c r="G1271" s="20" t="str">
        <f>HYPERLINK("https://semena-nn.ru/catalog/39/1283096","Фото")</f>
        <v>Фото</v>
      </c>
      <c r="H1271" s="18">
        <v>28.3</v>
      </c>
      <c r="I1271" s="27"/>
      <c r="J1271" s="13">
        <f>H1271*I1271</f>
        <v>0</v>
      </c>
    </row>
    <row r="1272" spans="1:10" ht="12" customHeight="1">
      <c r="A1272" s="13" t="s">
        <v>8881</v>
      </c>
      <c r="B1272" s="13" t="s">
        <v>8882</v>
      </c>
      <c r="C1272" s="13" t="s">
        <v>416</v>
      </c>
      <c r="D1272" s="13" t="s">
        <v>8717</v>
      </c>
      <c r="E1272" s="13" t="s">
        <v>93</v>
      </c>
      <c r="F1272" s="13" t="s">
        <v>8883</v>
      </c>
      <c r="G1272" s="20" t="str">
        <f>HYPERLINK("https://semena-nn.ru/catalog/39/999000008774","Фото")</f>
        <v>Фото</v>
      </c>
      <c r="H1272" s="18">
        <v>28.3</v>
      </c>
      <c r="I1272" s="27"/>
      <c r="J1272" s="13">
        <f>H1272*I1272</f>
        <v>0</v>
      </c>
    </row>
    <row r="1273" spans="1:10" ht="12" customHeight="1">
      <c r="A1273" s="13" t="s">
        <v>1463</v>
      </c>
      <c r="B1273" s="13" t="s">
        <v>1464</v>
      </c>
      <c r="C1273" s="13" t="s">
        <v>416</v>
      </c>
      <c r="D1273" s="13" t="s">
        <v>697</v>
      </c>
      <c r="E1273" s="13" t="s">
        <v>93</v>
      </c>
      <c r="F1273" s="13" t="s">
        <v>1465</v>
      </c>
      <c r="G1273" s="20" t="str">
        <f>HYPERLINK("https://semena-nn.ru/catalog/39/1288164","Фото")</f>
        <v>Фото</v>
      </c>
      <c r="H1273" s="18">
        <v>19.7</v>
      </c>
      <c r="I1273" s="27"/>
      <c r="J1273" s="13">
        <f>H1273*I1273</f>
        <v>0</v>
      </c>
    </row>
    <row r="1274" spans="1:10" ht="12" customHeight="1">
      <c r="A1274" s="13" t="s">
        <v>1466</v>
      </c>
      <c r="B1274" s="13" t="s">
        <v>1467</v>
      </c>
      <c r="C1274" s="13" t="s">
        <v>416</v>
      </c>
      <c r="D1274" s="13" t="s">
        <v>697</v>
      </c>
      <c r="E1274" s="13" t="s">
        <v>93</v>
      </c>
      <c r="F1274" s="13" t="s">
        <v>1468</v>
      </c>
      <c r="G1274" s="20" t="str">
        <f>HYPERLINK("https://semena-nn.ru/catalog/39/1120025","Фото")</f>
        <v>Фото</v>
      </c>
      <c r="H1274" s="19">
        <v>26.95</v>
      </c>
      <c r="I1274" s="27"/>
      <c r="J1274" s="13">
        <f>H1274*I1274</f>
        <v>0</v>
      </c>
    </row>
    <row r="1275" spans="1:10" ht="12" customHeight="1">
      <c r="A1275" s="13" t="s">
        <v>3323</v>
      </c>
      <c r="B1275" s="13" t="s">
        <v>3324</v>
      </c>
      <c r="C1275" s="13" t="s">
        <v>416</v>
      </c>
      <c r="D1275" s="13" t="s">
        <v>697</v>
      </c>
      <c r="E1275" s="13" t="s">
        <v>3064</v>
      </c>
      <c r="F1275" s="13" t="s">
        <v>3325</v>
      </c>
      <c r="G1275" s="20" t="str">
        <f>HYPERLINK("http://semena-nn.ru/catalog/39/1287483","Фото")</f>
        <v>Фото</v>
      </c>
      <c r="H1275" s="19">
        <v>12.65</v>
      </c>
      <c r="I1275" s="27"/>
      <c r="J1275" s="13">
        <f>H1275*I1275</f>
        <v>0</v>
      </c>
    </row>
    <row r="1276" spans="1:10" ht="12" customHeight="1">
      <c r="A1276" s="13" t="s">
        <v>2929</v>
      </c>
      <c r="B1276" s="13" t="s">
        <v>2930</v>
      </c>
      <c r="C1276" s="13" t="s">
        <v>416</v>
      </c>
      <c r="D1276" s="13" t="s">
        <v>697</v>
      </c>
      <c r="E1276" s="13" t="s">
        <v>2636</v>
      </c>
      <c r="F1276" s="17" t="s">
        <v>2931</v>
      </c>
      <c r="G1276" s="20" t="str">
        <f>HYPERLINK("http://semena-nn.ru/catalog/39/3112","Фото")</f>
        <v>Фото</v>
      </c>
      <c r="H1276" s="18">
        <v>9.4</v>
      </c>
      <c r="I1276" s="27"/>
      <c r="J1276" s="13">
        <f>H1276*I1276</f>
        <v>0</v>
      </c>
    </row>
    <row r="1277" spans="1:10" ht="12" customHeight="1">
      <c r="A1277" s="13" t="s">
        <v>1469</v>
      </c>
      <c r="B1277" s="13" t="s">
        <v>1470</v>
      </c>
      <c r="C1277" s="13" t="s">
        <v>416</v>
      </c>
      <c r="D1277" s="13" t="s">
        <v>697</v>
      </c>
      <c r="E1277" s="13" t="s">
        <v>93</v>
      </c>
      <c r="F1277" s="13" t="s">
        <v>1471</v>
      </c>
      <c r="G1277" s="20" t="str">
        <f>HYPERLINK("http://semena-nn.ru/catalog/39/4021","Фото")</f>
        <v>Фото</v>
      </c>
      <c r="H1277" s="18">
        <v>20.7</v>
      </c>
      <c r="I1277" s="27"/>
      <c r="J1277" s="13">
        <f>H1277*I1277</f>
        <v>0</v>
      </c>
    </row>
    <row r="1278" spans="1:10" ht="12" customHeight="1">
      <c r="A1278" s="13" t="s">
        <v>8884</v>
      </c>
      <c r="B1278" s="13" t="s">
        <v>8885</v>
      </c>
      <c r="C1278" s="13" t="s">
        <v>416</v>
      </c>
      <c r="D1278" s="13" t="s">
        <v>8717</v>
      </c>
      <c r="E1278" s="13" t="s">
        <v>93</v>
      </c>
      <c r="F1278" s="13" t="s">
        <v>8886</v>
      </c>
      <c r="G1278" s="20" t="str">
        <f>HYPERLINK("http://semena-nn.ru/catalog/39/999000005619","Фото")</f>
        <v>Фото</v>
      </c>
      <c r="H1278" s="15">
        <v>19</v>
      </c>
      <c r="I1278" s="27"/>
      <c r="J1278" s="13">
        <f>H1278*I1278</f>
        <v>0</v>
      </c>
    </row>
    <row r="1279" spans="1:10" ht="12" customHeight="1">
      <c r="A1279" s="13" t="s">
        <v>1472</v>
      </c>
      <c r="B1279" s="13" t="s">
        <v>1473</v>
      </c>
      <c r="C1279" s="13" t="s">
        <v>416</v>
      </c>
      <c r="D1279" s="13" t="s">
        <v>697</v>
      </c>
      <c r="E1279" s="13" t="s">
        <v>93</v>
      </c>
      <c r="F1279" s="13" t="s">
        <v>1474</v>
      </c>
      <c r="G1279" s="20" t="str">
        <f>HYPERLINK("https://semena-nn.ru/catalog/39/999000009126","Фото")</f>
        <v>Фото</v>
      </c>
      <c r="H1279" s="18">
        <v>26.2</v>
      </c>
      <c r="I1279" s="27"/>
      <c r="J1279" s="13">
        <f>H1279*I1279</f>
        <v>0</v>
      </c>
    </row>
    <row r="1280" spans="1:10" ht="12" customHeight="1">
      <c r="A1280" s="13" t="s">
        <v>1475</v>
      </c>
      <c r="B1280" s="13" t="s">
        <v>1476</v>
      </c>
      <c r="C1280" s="13" t="s">
        <v>416</v>
      </c>
      <c r="D1280" s="13" t="s">
        <v>697</v>
      </c>
      <c r="E1280" s="13" t="s">
        <v>93</v>
      </c>
      <c r="F1280" s="13" t="s">
        <v>1477</v>
      </c>
      <c r="G1280" s="20" t="str">
        <f>HYPERLINK("https://semena-nn.ru/catalog/39/97491","Фото")</f>
        <v>Фото</v>
      </c>
      <c r="H1280" s="18">
        <v>20.7</v>
      </c>
      <c r="I1280" s="27"/>
      <c r="J1280" s="13">
        <f>H1280*I1280</f>
        <v>0</v>
      </c>
    </row>
    <row r="1281" spans="1:10" ht="12" customHeight="1">
      <c r="A1281" s="13" t="s">
        <v>1478</v>
      </c>
      <c r="B1281" s="13" t="s">
        <v>1479</v>
      </c>
      <c r="C1281" s="13" t="s">
        <v>416</v>
      </c>
      <c r="D1281" s="13" t="s">
        <v>697</v>
      </c>
      <c r="E1281" s="13" t="s">
        <v>93</v>
      </c>
      <c r="F1281" s="13" t="s">
        <v>1480</v>
      </c>
      <c r="G1281" s="20" t="str">
        <f>HYPERLINK("http://semena-nn.ru/catalog/39/576","Фото")</f>
        <v>Фото</v>
      </c>
      <c r="H1281" s="18">
        <v>19.7</v>
      </c>
      <c r="I1281" s="27"/>
      <c r="J1281" s="13">
        <f>H1281*I1281</f>
        <v>0</v>
      </c>
    </row>
    <row r="1282" spans="1:10" ht="12" customHeight="1">
      <c r="A1282" s="13" t="s">
        <v>8078</v>
      </c>
      <c r="B1282" s="13" t="s">
        <v>8079</v>
      </c>
      <c r="C1282" s="13" t="s">
        <v>416</v>
      </c>
      <c r="D1282" s="13" t="s">
        <v>7728</v>
      </c>
      <c r="E1282" s="13" t="s">
        <v>93</v>
      </c>
      <c r="F1282" s="13" t="s">
        <v>8080</v>
      </c>
      <c r="G1282" s="20" t="str">
        <f>HYPERLINK("https://semena-nn.ru/catalog/39/999000020405","Фото")</f>
        <v>Фото</v>
      </c>
      <c r="H1282" s="18">
        <v>42.6</v>
      </c>
      <c r="I1282" s="27"/>
      <c r="J1282" s="13">
        <f>H1282*I1282</f>
        <v>0</v>
      </c>
    </row>
    <row r="1283" spans="1:10" ht="12" customHeight="1">
      <c r="A1283" s="13" t="s">
        <v>7035</v>
      </c>
      <c r="B1283" s="13" t="s">
        <v>7036</v>
      </c>
      <c r="C1283" s="13" t="s">
        <v>416</v>
      </c>
      <c r="D1283" s="13" t="s">
        <v>6927</v>
      </c>
      <c r="E1283" s="13" t="s">
        <v>93</v>
      </c>
      <c r="F1283" s="13" t="s">
        <v>7037</v>
      </c>
      <c r="G1283" s="20" t="str">
        <f>HYPERLINK("https://semena-nn.ru/catalog/39/999000010165","Фото")</f>
        <v>Фото</v>
      </c>
      <c r="H1283" s="18">
        <v>27.5</v>
      </c>
      <c r="I1283" s="27"/>
      <c r="J1283" s="13">
        <f>H1283*I1283</f>
        <v>0</v>
      </c>
    </row>
    <row r="1284" spans="1:10" ht="12" customHeight="1">
      <c r="A1284" s="13" t="s">
        <v>1481</v>
      </c>
      <c r="B1284" s="13" t="s">
        <v>1482</v>
      </c>
      <c r="C1284" s="13" t="s">
        <v>416</v>
      </c>
      <c r="D1284" s="13" t="s">
        <v>697</v>
      </c>
      <c r="E1284" s="13" t="s">
        <v>93</v>
      </c>
      <c r="F1284" s="13" t="s">
        <v>1483</v>
      </c>
      <c r="G1284" s="20" t="str">
        <f>HYPERLINK("https://semena-nn.ru/catalog/39/106027","Фото")</f>
        <v>Фото</v>
      </c>
      <c r="H1284" s="19">
        <v>33.15</v>
      </c>
      <c r="I1284" s="27"/>
      <c r="J1284" s="13">
        <f>H1284*I1284</f>
        <v>0</v>
      </c>
    </row>
    <row r="1285" spans="1:10" ht="12" customHeight="1">
      <c r="A1285" s="13" t="s">
        <v>6533</v>
      </c>
      <c r="B1285" s="13" t="s">
        <v>6534</v>
      </c>
      <c r="C1285" s="13" t="s">
        <v>416</v>
      </c>
      <c r="D1285" s="13" t="s">
        <v>87</v>
      </c>
      <c r="E1285" s="13" t="s">
        <v>93</v>
      </c>
      <c r="F1285" s="13" t="s">
        <v>6535</v>
      </c>
      <c r="G1285" s="20" t="str">
        <f>HYPERLINK("http://semena-nn.ru/catalog/39/999000006880","Фото")</f>
        <v>Фото</v>
      </c>
      <c r="H1285" s="18">
        <v>17.600000000000001</v>
      </c>
      <c r="I1285" s="27"/>
      <c r="J1285" s="13">
        <f>H1285*I1285</f>
        <v>0</v>
      </c>
    </row>
    <row r="1286" spans="1:10" ht="12" customHeight="1">
      <c r="A1286" s="13" t="s">
        <v>2932</v>
      </c>
      <c r="B1286" s="13" t="s">
        <v>2933</v>
      </c>
      <c r="C1286" s="13" t="s">
        <v>420</v>
      </c>
      <c r="D1286" s="13" t="s">
        <v>697</v>
      </c>
      <c r="E1286" s="13" t="s">
        <v>2636</v>
      </c>
      <c r="F1286" s="13" t="s">
        <v>2934</v>
      </c>
      <c r="G1286" s="20" t="str">
        <f>HYPERLINK("http://semena-nn.ru/catalog/40/3058","Фото")</f>
        <v>Фото</v>
      </c>
      <c r="H1286" s="18">
        <v>7.8</v>
      </c>
      <c r="I1286" s="27"/>
      <c r="J1286" s="13">
        <f>H1286*I1286</f>
        <v>0</v>
      </c>
    </row>
    <row r="1287" spans="1:10" ht="12" customHeight="1">
      <c r="A1287" s="13" t="s">
        <v>418</v>
      </c>
      <c r="B1287" s="13" t="s">
        <v>419</v>
      </c>
      <c r="C1287" s="13" t="s">
        <v>420</v>
      </c>
      <c r="D1287" s="13" t="s">
        <v>28</v>
      </c>
      <c r="E1287" s="13" t="s">
        <v>93</v>
      </c>
      <c r="F1287" s="13" t="s">
        <v>421</v>
      </c>
      <c r="G1287" s="20" t="str">
        <f>HYPERLINK("https://semena-nn.ru/catalog/40/999000009726","Фото")</f>
        <v>Фото</v>
      </c>
      <c r="H1287" s="19">
        <v>22.47</v>
      </c>
      <c r="I1287" s="27"/>
      <c r="J1287" s="13">
        <f>H1287*I1287</f>
        <v>0</v>
      </c>
    </row>
    <row r="1288" spans="1:10" ht="12" customHeight="1">
      <c r="A1288" s="13" t="s">
        <v>8081</v>
      </c>
      <c r="B1288" s="13" t="s">
        <v>8082</v>
      </c>
      <c r="C1288" s="13" t="s">
        <v>420</v>
      </c>
      <c r="D1288" s="13" t="s">
        <v>7728</v>
      </c>
      <c r="E1288" s="13" t="s">
        <v>93</v>
      </c>
      <c r="F1288" s="13" t="s">
        <v>8083</v>
      </c>
      <c r="G1288" s="20" t="str">
        <f>HYPERLINK("https://semena-nn.ru/catalog/40/1283293","Фото")</f>
        <v>Фото</v>
      </c>
      <c r="H1288" s="18">
        <v>22.2</v>
      </c>
      <c r="I1288" s="27"/>
      <c r="J1288" s="13">
        <f>H1288*I1288</f>
        <v>0</v>
      </c>
    </row>
    <row r="1289" spans="1:10" ht="12" customHeight="1">
      <c r="A1289" s="13" t="s">
        <v>8084</v>
      </c>
      <c r="B1289" s="13" t="s">
        <v>8085</v>
      </c>
      <c r="C1289" s="13" t="s">
        <v>420</v>
      </c>
      <c r="D1289" s="13" t="s">
        <v>7728</v>
      </c>
      <c r="E1289" s="13" t="s">
        <v>93</v>
      </c>
      <c r="F1289" s="13" t="s">
        <v>8086</v>
      </c>
      <c r="G1289" s="20" t="str">
        <f>HYPERLINK("https://semena-nn.ru/catalog/40/1307935","Фото")</f>
        <v>Фото</v>
      </c>
      <c r="H1289" s="18">
        <v>23.7</v>
      </c>
      <c r="I1289" s="27"/>
      <c r="J1289" s="13">
        <f>H1289*I1289</f>
        <v>0</v>
      </c>
    </row>
    <row r="1290" spans="1:10" ht="12" customHeight="1">
      <c r="A1290" s="13" t="s">
        <v>1484</v>
      </c>
      <c r="B1290" s="13" t="s">
        <v>1485</v>
      </c>
      <c r="C1290" s="13" t="s">
        <v>420</v>
      </c>
      <c r="D1290" s="13" t="s">
        <v>697</v>
      </c>
      <c r="E1290" s="13" t="s">
        <v>93</v>
      </c>
      <c r="F1290" s="13" t="s">
        <v>1486</v>
      </c>
      <c r="G1290" s="20" t="str">
        <f>HYPERLINK("https://semena-nn.ru/catalog/40/888000007602","Фото")</f>
        <v>Фото</v>
      </c>
      <c r="H1290" s="19">
        <v>23.65</v>
      </c>
      <c r="I1290" s="27"/>
      <c r="J1290" s="13">
        <f>H1290*I1290</f>
        <v>0</v>
      </c>
    </row>
    <row r="1291" spans="1:10" ht="12" customHeight="1">
      <c r="A1291" s="13" t="s">
        <v>1487</v>
      </c>
      <c r="B1291" s="13" t="s">
        <v>1488</v>
      </c>
      <c r="C1291" s="13" t="s">
        <v>420</v>
      </c>
      <c r="D1291" s="13" t="s">
        <v>697</v>
      </c>
      <c r="E1291" s="13" t="s">
        <v>93</v>
      </c>
      <c r="F1291" s="13" t="s">
        <v>1489</v>
      </c>
      <c r="G1291" s="20" t="str">
        <f>HYPERLINK("http://semena-nn.ru/catalog/40/1311221","Фото")</f>
        <v>Фото</v>
      </c>
      <c r="H1291" s="18">
        <v>18.7</v>
      </c>
      <c r="I1291" s="27"/>
      <c r="J1291" s="13">
        <f>H1291*I1291</f>
        <v>0</v>
      </c>
    </row>
    <row r="1292" spans="1:10" ht="12" customHeight="1">
      <c r="A1292" s="13" t="s">
        <v>4028</v>
      </c>
      <c r="B1292" s="13" t="s">
        <v>4029</v>
      </c>
      <c r="C1292" s="13" t="s">
        <v>420</v>
      </c>
      <c r="D1292" s="13" t="s">
        <v>3475</v>
      </c>
      <c r="E1292" s="13" t="s">
        <v>93</v>
      </c>
      <c r="F1292" s="13" t="s">
        <v>4030</v>
      </c>
      <c r="G1292" s="20" t="str">
        <f>HYPERLINK("https://semena-nn.ru/catalog/40/999000020029","Фото")</f>
        <v>Фото</v>
      </c>
      <c r="H1292" s="18">
        <v>18.7</v>
      </c>
      <c r="I1292" s="27"/>
      <c r="J1292" s="13">
        <f>H1292*I1292</f>
        <v>0</v>
      </c>
    </row>
    <row r="1293" spans="1:10" ht="12" customHeight="1">
      <c r="A1293" s="13" t="s">
        <v>5028</v>
      </c>
      <c r="B1293" s="13" t="s">
        <v>5029</v>
      </c>
      <c r="C1293" s="13" t="s">
        <v>420</v>
      </c>
      <c r="D1293" s="13" t="s">
        <v>3475</v>
      </c>
      <c r="E1293" s="13" t="s">
        <v>93</v>
      </c>
      <c r="F1293" s="13" t="s">
        <v>5030</v>
      </c>
      <c r="G1293" s="20" t="str">
        <f>HYPERLINK("https://semena-nn.ru/catalog/40/1302259","Фото")</f>
        <v>Фото</v>
      </c>
      <c r="H1293" s="19">
        <v>12.61</v>
      </c>
      <c r="I1293" s="27"/>
      <c r="J1293" s="13">
        <f>H1293*I1293</f>
        <v>0</v>
      </c>
    </row>
    <row r="1294" spans="1:10" ht="12" customHeight="1">
      <c r="A1294" s="13" t="s">
        <v>3326</v>
      </c>
      <c r="B1294" s="13" t="s">
        <v>3327</v>
      </c>
      <c r="C1294" s="13" t="s">
        <v>420</v>
      </c>
      <c r="D1294" s="13" t="s">
        <v>697</v>
      </c>
      <c r="E1294" s="13" t="s">
        <v>3064</v>
      </c>
      <c r="F1294" s="13" t="s">
        <v>3328</v>
      </c>
      <c r="G1294" s="20" t="str">
        <f>HYPERLINK("http://semena-nn.ru/catalog/40/1298453","Фото")</f>
        <v>Фото</v>
      </c>
      <c r="H1294" s="19">
        <v>12.05</v>
      </c>
      <c r="I1294" s="27"/>
      <c r="J1294" s="13">
        <f>H1294*I1294</f>
        <v>0</v>
      </c>
    </row>
    <row r="1295" spans="1:10" ht="12" customHeight="1">
      <c r="A1295" s="13" t="s">
        <v>2935</v>
      </c>
      <c r="B1295" s="13" t="s">
        <v>2936</v>
      </c>
      <c r="C1295" s="13" t="s">
        <v>420</v>
      </c>
      <c r="D1295" s="13" t="s">
        <v>697</v>
      </c>
      <c r="E1295" s="13" t="s">
        <v>2636</v>
      </c>
      <c r="F1295" s="13" t="s">
        <v>2937</v>
      </c>
      <c r="G1295" s="20" t="str">
        <f>HYPERLINK("http://semena-nn.ru/catalog/40/97884","Фото")</f>
        <v>Фото</v>
      </c>
      <c r="H1295" s="19">
        <v>6.85</v>
      </c>
      <c r="I1295" s="27"/>
      <c r="J1295" s="13">
        <f>H1295*I1295</f>
        <v>0</v>
      </c>
    </row>
    <row r="1296" spans="1:10" ht="12" customHeight="1">
      <c r="A1296" s="13" t="s">
        <v>4031</v>
      </c>
      <c r="B1296" s="13" t="s">
        <v>4032</v>
      </c>
      <c r="C1296" s="13" t="s">
        <v>420</v>
      </c>
      <c r="D1296" s="13" t="s">
        <v>3475</v>
      </c>
      <c r="E1296" s="13" t="s">
        <v>93</v>
      </c>
      <c r="F1296" s="13" t="s">
        <v>4033</v>
      </c>
      <c r="G1296" s="20" t="str">
        <f>HYPERLINK("http://semena-nn.ru/catalog/40/1282639","Фото")</f>
        <v>Фото</v>
      </c>
      <c r="H1296" s="19">
        <v>23.15</v>
      </c>
      <c r="I1296" s="27"/>
      <c r="J1296" s="13">
        <f>H1296*I1296</f>
        <v>0</v>
      </c>
    </row>
    <row r="1297" spans="1:10" ht="12" customHeight="1">
      <c r="A1297" s="13" t="s">
        <v>2938</v>
      </c>
      <c r="B1297" s="13" t="s">
        <v>2939</v>
      </c>
      <c r="C1297" s="13" t="s">
        <v>420</v>
      </c>
      <c r="D1297" s="13" t="s">
        <v>697</v>
      </c>
      <c r="E1297" s="13" t="s">
        <v>2636</v>
      </c>
      <c r="F1297" s="13" t="s">
        <v>2940</v>
      </c>
      <c r="G1297" s="20" t="str">
        <f>HYPERLINK("http://semena-nn.ru/catalog/40/112981","Фото")</f>
        <v>Фото</v>
      </c>
      <c r="H1297" s="19">
        <v>6.85</v>
      </c>
      <c r="I1297" s="27"/>
      <c r="J1297" s="13">
        <f>H1297*I1297</f>
        <v>0</v>
      </c>
    </row>
    <row r="1298" spans="1:10" ht="12" customHeight="1">
      <c r="A1298" s="13" t="s">
        <v>2941</v>
      </c>
      <c r="B1298" s="13" t="s">
        <v>2942</v>
      </c>
      <c r="C1298" s="13" t="s">
        <v>420</v>
      </c>
      <c r="D1298" s="13" t="s">
        <v>697</v>
      </c>
      <c r="E1298" s="13" t="s">
        <v>2636</v>
      </c>
      <c r="F1298" s="13" t="s">
        <v>2943</v>
      </c>
      <c r="G1298" s="20" t="str">
        <f>HYPERLINK("http://semena-nn.ru/catalog/40/3059","Фото")</f>
        <v>Фото</v>
      </c>
      <c r="H1298" s="18">
        <v>7.2</v>
      </c>
      <c r="I1298" s="27"/>
      <c r="J1298" s="13">
        <f>H1298*I1298</f>
        <v>0</v>
      </c>
    </row>
    <row r="1299" spans="1:10" ht="12" customHeight="1">
      <c r="A1299" s="13" t="s">
        <v>3329</v>
      </c>
      <c r="B1299" s="13" t="s">
        <v>3330</v>
      </c>
      <c r="C1299" s="13" t="s">
        <v>420</v>
      </c>
      <c r="D1299" s="13" t="s">
        <v>697</v>
      </c>
      <c r="E1299" s="13" t="s">
        <v>3064</v>
      </c>
      <c r="F1299" s="13" t="s">
        <v>3331</v>
      </c>
      <c r="G1299" s="20" t="str">
        <f>HYPERLINK("https://semena-nn.ru/catalog/40/1288661","Фото")</f>
        <v>Фото</v>
      </c>
      <c r="H1299" s="19">
        <v>12.65</v>
      </c>
      <c r="I1299" s="27"/>
      <c r="J1299" s="13">
        <f>H1299*I1299</f>
        <v>0</v>
      </c>
    </row>
    <row r="1300" spans="1:10" ht="12" customHeight="1">
      <c r="A1300" s="13" t="s">
        <v>8087</v>
      </c>
      <c r="B1300" s="13" t="s">
        <v>8088</v>
      </c>
      <c r="C1300" s="13" t="s">
        <v>424</v>
      </c>
      <c r="D1300" s="13" t="s">
        <v>7728</v>
      </c>
      <c r="E1300" s="13" t="s">
        <v>93</v>
      </c>
      <c r="F1300" s="17" t="s">
        <v>8089</v>
      </c>
      <c r="G1300" s="20" t="str">
        <f>HYPERLINK("http://semena-nn.ru/catalog/41/999000006359","Фото")</f>
        <v>Фото</v>
      </c>
      <c r="H1300" s="19">
        <v>21.95</v>
      </c>
      <c r="I1300" s="27"/>
      <c r="J1300" s="13">
        <f>H1300*I1300</f>
        <v>0</v>
      </c>
    </row>
    <row r="1301" spans="1:10" ht="12" customHeight="1">
      <c r="A1301" s="13" t="s">
        <v>1490</v>
      </c>
      <c r="B1301" s="13" t="s">
        <v>1491</v>
      </c>
      <c r="C1301" s="13" t="s">
        <v>424</v>
      </c>
      <c r="D1301" s="13" t="s">
        <v>697</v>
      </c>
      <c r="E1301" s="13" t="s">
        <v>93</v>
      </c>
      <c r="F1301" s="13" t="s">
        <v>1492</v>
      </c>
      <c r="G1301" s="20" t="str">
        <f>HYPERLINK("http://semena-nn.ru/catalog/41/1126895","Фото")</f>
        <v>Фото</v>
      </c>
      <c r="H1301" s="18">
        <v>18.7</v>
      </c>
      <c r="I1301" s="27"/>
      <c r="J1301" s="13">
        <f>H1301*I1301</f>
        <v>0</v>
      </c>
    </row>
    <row r="1302" spans="1:10" ht="12" customHeight="1">
      <c r="A1302" s="13" t="s">
        <v>422</v>
      </c>
      <c r="B1302" s="13" t="s">
        <v>423</v>
      </c>
      <c r="C1302" s="13" t="s">
        <v>424</v>
      </c>
      <c r="D1302" s="13" t="s">
        <v>28</v>
      </c>
      <c r="E1302" s="13" t="s">
        <v>93</v>
      </c>
      <c r="F1302" s="13" t="s">
        <v>425</v>
      </c>
      <c r="G1302" s="20" t="str">
        <f>HYPERLINK("https://semena-nn.ru/catalog/41/999000011978","Фото")</f>
        <v>Фото</v>
      </c>
      <c r="H1302" s="19">
        <v>20.48</v>
      </c>
      <c r="I1302" s="27"/>
      <c r="J1302" s="13">
        <f>H1302*I1302</f>
        <v>0</v>
      </c>
    </row>
    <row r="1303" spans="1:10" ht="12" customHeight="1">
      <c r="A1303" s="13" t="s">
        <v>1493</v>
      </c>
      <c r="B1303" s="13" t="s">
        <v>1494</v>
      </c>
      <c r="C1303" s="13" t="s">
        <v>424</v>
      </c>
      <c r="D1303" s="13" t="s">
        <v>697</v>
      </c>
      <c r="E1303" s="13" t="s">
        <v>93</v>
      </c>
      <c r="F1303" s="13" t="s">
        <v>1495</v>
      </c>
      <c r="G1303" s="20" t="str">
        <f>HYPERLINK("http://semena-nn.ru/catalog/41/113054","Фото")</f>
        <v>Фото</v>
      </c>
      <c r="H1303" s="18">
        <v>18.7</v>
      </c>
      <c r="I1303" s="27"/>
      <c r="J1303" s="13">
        <f>H1303*I1303</f>
        <v>0</v>
      </c>
    </row>
    <row r="1304" spans="1:10" ht="12" customHeight="1">
      <c r="A1304" s="13" t="s">
        <v>1496</v>
      </c>
      <c r="B1304" s="13" t="s">
        <v>1497</v>
      </c>
      <c r="C1304" s="13" t="s">
        <v>424</v>
      </c>
      <c r="D1304" s="13" t="s">
        <v>697</v>
      </c>
      <c r="E1304" s="13" t="s">
        <v>93</v>
      </c>
      <c r="F1304" s="13" t="s">
        <v>1498</v>
      </c>
      <c r="G1304" s="20" t="str">
        <f>HYPERLINK("http://semena-nn.ru/catalog/41/1126896","Фото")</f>
        <v>Фото</v>
      </c>
      <c r="H1304" s="18">
        <v>18.7</v>
      </c>
      <c r="I1304" s="27"/>
      <c r="J1304" s="13">
        <f>H1304*I1304</f>
        <v>0</v>
      </c>
    </row>
    <row r="1305" spans="1:10" ht="12" customHeight="1">
      <c r="A1305" s="13" t="s">
        <v>1499</v>
      </c>
      <c r="B1305" s="13" t="s">
        <v>1500</v>
      </c>
      <c r="C1305" s="13" t="s">
        <v>424</v>
      </c>
      <c r="D1305" s="13" t="s">
        <v>697</v>
      </c>
      <c r="E1305" s="13" t="s">
        <v>93</v>
      </c>
      <c r="F1305" s="17" t="s">
        <v>1501</v>
      </c>
      <c r="G1305" s="20" t="str">
        <f>HYPERLINK("http://semena-nn.ru/catalog/41/1121517","Фото")</f>
        <v>Фото</v>
      </c>
      <c r="H1305" s="18">
        <v>18.7</v>
      </c>
      <c r="I1305" s="27"/>
      <c r="J1305" s="13">
        <f>H1305*I1305</f>
        <v>0</v>
      </c>
    </row>
    <row r="1306" spans="1:10" ht="12" customHeight="1">
      <c r="A1306" s="13" t="s">
        <v>3332</v>
      </c>
      <c r="B1306" s="13" t="s">
        <v>3333</v>
      </c>
      <c r="C1306" s="13" t="s">
        <v>424</v>
      </c>
      <c r="D1306" s="13" t="s">
        <v>697</v>
      </c>
      <c r="E1306" s="13" t="s">
        <v>3064</v>
      </c>
      <c r="F1306" s="13" t="s">
        <v>3334</v>
      </c>
      <c r="G1306" s="20" t="str">
        <f>HYPERLINK("http://semena-nn.ru/catalog/41/1288662","Фото")</f>
        <v>Фото</v>
      </c>
      <c r="H1306" s="19">
        <v>12.65</v>
      </c>
      <c r="I1306" s="27"/>
      <c r="J1306" s="13">
        <f>H1306*I1306</f>
        <v>0</v>
      </c>
    </row>
    <row r="1307" spans="1:10" ht="12" customHeight="1">
      <c r="A1307" s="13" t="s">
        <v>2944</v>
      </c>
      <c r="B1307" s="13" t="s">
        <v>2945</v>
      </c>
      <c r="C1307" s="13" t="s">
        <v>424</v>
      </c>
      <c r="D1307" s="13" t="s">
        <v>697</v>
      </c>
      <c r="E1307" s="13" t="s">
        <v>2636</v>
      </c>
      <c r="F1307" s="13" t="s">
        <v>2946</v>
      </c>
      <c r="G1307" s="20" t="str">
        <f>HYPERLINK("http://semena-nn.ru/catalog/41/3113","Фото")</f>
        <v>Фото</v>
      </c>
      <c r="H1307" s="19">
        <v>6.85</v>
      </c>
      <c r="I1307" s="27"/>
      <c r="J1307" s="13">
        <f>H1307*I1307</f>
        <v>0</v>
      </c>
    </row>
    <row r="1308" spans="1:10" ht="12" customHeight="1">
      <c r="A1308" s="13" t="s">
        <v>8887</v>
      </c>
      <c r="B1308" s="13" t="s">
        <v>8888</v>
      </c>
      <c r="C1308" s="13" t="s">
        <v>424</v>
      </c>
      <c r="D1308" s="13" t="s">
        <v>8717</v>
      </c>
      <c r="E1308" s="13" t="s">
        <v>93</v>
      </c>
      <c r="F1308" s="13" t="s">
        <v>8889</v>
      </c>
      <c r="G1308" s="20" t="str">
        <f>HYPERLINK("https://semena-nn.ru/catalog/41/999000007706","Фото")</f>
        <v>Фото</v>
      </c>
      <c r="H1308" s="18">
        <v>28.3</v>
      </c>
      <c r="I1308" s="27"/>
      <c r="J1308" s="13">
        <f>H1308*I1308</f>
        <v>0</v>
      </c>
    </row>
    <row r="1309" spans="1:10" ht="12" customHeight="1">
      <c r="A1309" s="13" t="s">
        <v>426</v>
      </c>
      <c r="B1309" s="13" t="s">
        <v>427</v>
      </c>
      <c r="C1309" s="13" t="s">
        <v>424</v>
      </c>
      <c r="D1309" s="13" t="s">
        <v>28</v>
      </c>
      <c r="E1309" s="13" t="s">
        <v>93</v>
      </c>
      <c r="F1309" s="13" t="s">
        <v>428</v>
      </c>
      <c r="G1309" s="20" t="str">
        <f>HYPERLINK("https://semena-nn.ru/catalog/41/999000010620","Фото")</f>
        <v>Фото</v>
      </c>
      <c r="H1309" s="19">
        <v>20.48</v>
      </c>
      <c r="I1309" s="27"/>
      <c r="J1309" s="13">
        <f>H1309*I1309</f>
        <v>0</v>
      </c>
    </row>
    <row r="1310" spans="1:10" ht="12" customHeight="1">
      <c r="A1310" s="13" t="s">
        <v>1502</v>
      </c>
      <c r="B1310" s="13" t="s">
        <v>1503</v>
      </c>
      <c r="C1310" s="13" t="s">
        <v>696</v>
      </c>
      <c r="D1310" s="13" t="s">
        <v>697</v>
      </c>
      <c r="E1310" s="13" t="s">
        <v>93</v>
      </c>
      <c r="F1310" s="13" t="s">
        <v>1504</v>
      </c>
      <c r="G1310" s="20" t="str">
        <f>HYPERLINK("https://semena-nn.ru/catalog/38/999000011002","Фото")</f>
        <v>Фото</v>
      </c>
      <c r="H1310" s="18">
        <v>34.5</v>
      </c>
      <c r="I1310" s="27"/>
      <c r="J1310" s="13">
        <f>H1310*I1310</f>
        <v>0</v>
      </c>
    </row>
    <row r="1311" spans="1:10" ht="12" customHeight="1">
      <c r="A1311" s="13" t="s">
        <v>3335</v>
      </c>
      <c r="B1311" s="13" t="s">
        <v>3336</v>
      </c>
      <c r="C1311" s="13" t="s">
        <v>406</v>
      </c>
      <c r="D1311" s="13" t="s">
        <v>697</v>
      </c>
      <c r="E1311" s="13" t="s">
        <v>3064</v>
      </c>
      <c r="F1311" s="13" t="s">
        <v>3337</v>
      </c>
      <c r="G1311" s="20" t="str">
        <f>HYPERLINK("http://semena-nn.ru/catalog/38/999000002091","Фото")</f>
        <v>Фото</v>
      </c>
      <c r="H1311" s="18">
        <v>27.8</v>
      </c>
      <c r="I1311" s="27"/>
      <c r="J1311" s="13">
        <f>H1311*I1311</f>
        <v>0</v>
      </c>
    </row>
    <row r="1312" spans="1:10" ht="12" customHeight="1">
      <c r="A1312" s="13" t="s">
        <v>8090</v>
      </c>
      <c r="B1312" s="13" t="s">
        <v>8091</v>
      </c>
      <c r="C1312" s="13" t="s">
        <v>696</v>
      </c>
      <c r="D1312" s="13" t="s">
        <v>7728</v>
      </c>
      <c r="E1312" s="13" t="s">
        <v>93</v>
      </c>
      <c r="F1312" s="13" t="s">
        <v>8092</v>
      </c>
      <c r="G1312" s="20" t="str">
        <f>HYPERLINK("https://semena-nn.ru/catalog/38/112036","Фото")</f>
        <v>Фото</v>
      </c>
      <c r="H1312" s="18">
        <v>44.4</v>
      </c>
      <c r="I1312" s="27"/>
      <c r="J1312" s="13">
        <f>H1312*I1312</f>
        <v>0</v>
      </c>
    </row>
    <row r="1313" spans="1:10" ht="12" customHeight="1">
      <c r="A1313" s="13" t="s">
        <v>1505</v>
      </c>
      <c r="B1313" s="13" t="s">
        <v>1506</v>
      </c>
      <c r="C1313" s="13" t="s">
        <v>825</v>
      </c>
      <c r="D1313" s="13" t="s">
        <v>697</v>
      </c>
      <c r="E1313" s="13" t="s">
        <v>93</v>
      </c>
      <c r="F1313" s="13" t="s">
        <v>1507</v>
      </c>
      <c r="G1313" s="20" t="str">
        <f>HYPERLINK("https://semena-nn.ru/catalog/42/1301050","Фото")</f>
        <v>Фото</v>
      </c>
      <c r="H1313" s="18">
        <v>18.7</v>
      </c>
      <c r="I1313" s="27"/>
      <c r="J1313" s="13">
        <f>H1313*I1313</f>
        <v>0</v>
      </c>
    </row>
    <row r="1314" spans="1:10" ht="12" customHeight="1">
      <c r="A1314" s="13" t="s">
        <v>1508</v>
      </c>
      <c r="B1314" s="13" t="s">
        <v>1509</v>
      </c>
      <c r="C1314" s="13" t="s">
        <v>825</v>
      </c>
      <c r="D1314" s="13" t="s">
        <v>697</v>
      </c>
      <c r="E1314" s="13" t="s">
        <v>93</v>
      </c>
      <c r="F1314" s="13" t="s">
        <v>1510</v>
      </c>
      <c r="G1314" s="20" t="str">
        <f>HYPERLINK("http://semena-nn.ru/catalog/42/1311036","Фото")</f>
        <v>Фото</v>
      </c>
      <c r="H1314" s="18">
        <v>18.7</v>
      </c>
      <c r="I1314" s="27"/>
      <c r="J1314" s="13">
        <f>H1314*I1314</f>
        <v>0</v>
      </c>
    </row>
    <row r="1315" spans="1:10" ht="12" customHeight="1">
      <c r="A1315" s="13" t="s">
        <v>1511</v>
      </c>
      <c r="B1315" s="13" t="s">
        <v>1512</v>
      </c>
      <c r="C1315" s="13" t="s">
        <v>825</v>
      </c>
      <c r="D1315" s="13" t="s">
        <v>697</v>
      </c>
      <c r="E1315" s="13" t="s">
        <v>93</v>
      </c>
      <c r="F1315" s="13" t="s">
        <v>1513</v>
      </c>
      <c r="G1315" s="20" t="str">
        <f>HYPERLINK("https://semena-nn.ru/catalog/42/1118003","Фото")</f>
        <v>Фото</v>
      </c>
      <c r="H1315" s="18">
        <v>18.7</v>
      </c>
      <c r="I1315" s="27"/>
      <c r="J1315" s="13">
        <f>H1315*I1315</f>
        <v>0</v>
      </c>
    </row>
    <row r="1316" spans="1:10" ht="12" customHeight="1">
      <c r="A1316" s="13" t="s">
        <v>4034</v>
      </c>
      <c r="B1316" s="13" t="s">
        <v>4035</v>
      </c>
      <c r="C1316" s="13" t="s">
        <v>825</v>
      </c>
      <c r="D1316" s="13" t="s">
        <v>3475</v>
      </c>
      <c r="E1316" s="13" t="s">
        <v>93</v>
      </c>
      <c r="F1316" s="13" t="s">
        <v>4036</v>
      </c>
      <c r="G1316" s="20" t="str">
        <f>HYPERLINK("http://semena-nn.ru/catalog/42/1309633","Фото")</f>
        <v>Фото</v>
      </c>
      <c r="H1316" s="18">
        <v>21.5</v>
      </c>
      <c r="I1316" s="27"/>
      <c r="J1316" s="13">
        <f>H1316*I1316</f>
        <v>0</v>
      </c>
    </row>
    <row r="1317" spans="1:10" ht="12" customHeight="1">
      <c r="A1317" s="13" t="s">
        <v>1514</v>
      </c>
      <c r="B1317" s="13" t="s">
        <v>1515</v>
      </c>
      <c r="C1317" s="13" t="s">
        <v>825</v>
      </c>
      <c r="D1317" s="13" t="s">
        <v>697</v>
      </c>
      <c r="E1317" s="13" t="s">
        <v>93</v>
      </c>
      <c r="F1317" s="13" t="s">
        <v>1516</v>
      </c>
      <c r="G1317" s="20" t="str">
        <f>HYPERLINK("https://semena-nn.ru/catalog/42/1307703","Фото")</f>
        <v>Фото</v>
      </c>
      <c r="H1317" s="18">
        <v>19.3</v>
      </c>
      <c r="I1317" s="27"/>
      <c r="J1317" s="13">
        <f>H1317*I1317</f>
        <v>0</v>
      </c>
    </row>
    <row r="1318" spans="1:10" ht="12" customHeight="1">
      <c r="A1318" s="13" t="s">
        <v>1517</v>
      </c>
      <c r="B1318" s="13" t="s">
        <v>1518</v>
      </c>
      <c r="C1318" s="13" t="s">
        <v>825</v>
      </c>
      <c r="D1318" s="13" t="s">
        <v>697</v>
      </c>
      <c r="E1318" s="13" t="s">
        <v>93</v>
      </c>
      <c r="F1318" s="13" t="s">
        <v>1519</v>
      </c>
      <c r="G1318" s="20" t="str">
        <f>HYPERLINK("https://semena-nn.ru/catalog/42/888000001482","Фото")</f>
        <v>Фото</v>
      </c>
      <c r="H1318" s="18">
        <v>18.7</v>
      </c>
      <c r="I1318" s="27"/>
      <c r="J1318" s="13">
        <f>H1318*I1318</f>
        <v>0</v>
      </c>
    </row>
    <row r="1319" spans="1:10" ht="12" customHeight="1">
      <c r="A1319" s="13" t="s">
        <v>1520</v>
      </c>
      <c r="B1319" s="13" t="s">
        <v>1521</v>
      </c>
      <c r="C1319" s="13" t="s">
        <v>825</v>
      </c>
      <c r="D1319" s="13" t="s">
        <v>697</v>
      </c>
      <c r="E1319" s="13" t="s">
        <v>93</v>
      </c>
      <c r="F1319" s="17" t="s">
        <v>1522</v>
      </c>
      <c r="G1319" s="20" t="str">
        <f>HYPERLINK("https://semena-nn.ru/catalog/42/1308445","Фото")</f>
        <v>Фото</v>
      </c>
      <c r="H1319" s="18">
        <v>18.8</v>
      </c>
      <c r="I1319" s="27"/>
      <c r="J1319" s="13">
        <f>H1319*I1319</f>
        <v>0</v>
      </c>
    </row>
    <row r="1320" spans="1:10" ht="12" customHeight="1">
      <c r="A1320" s="13" t="s">
        <v>1523</v>
      </c>
      <c r="B1320" s="13" t="s">
        <v>1524</v>
      </c>
      <c r="C1320" s="13" t="s">
        <v>825</v>
      </c>
      <c r="D1320" s="13" t="s">
        <v>697</v>
      </c>
      <c r="E1320" s="13" t="s">
        <v>93</v>
      </c>
      <c r="F1320" s="13" t="s">
        <v>1525</v>
      </c>
      <c r="G1320" s="20" t="str">
        <f>HYPERLINK("https://semena-nn.ru/catalog/42/888000001483","Фото")</f>
        <v>Фото</v>
      </c>
      <c r="H1320" s="18">
        <v>18.7</v>
      </c>
      <c r="I1320" s="27"/>
      <c r="J1320" s="13">
        <f>H1320*I1320</f>
        <v>0</v>
      </c>
    </row>
    <row r="1321" spans="1:10" ht="12" customHeight="1">
      <c r="A1321" s="13" t="s">
        <v>7038</v>
      </c>
      <c r="B1321" s="13" t="s">
        <v>7039</v>
      </c>
      <c r="C1321" s="13" t="s">
        <v>825</v>
      </c>
      <c r="D1321" s="13" t="s">
        <v>6927</v>
      </c>
      <c r="E1321" s="13" t="s">
        <v>93</v>
      </c>
      <c r="F1321" s="13" t="s">
        <v>7040</v>
      </c>
      <c r="G1321" s="20" t="str">
        <f>HYPERLINK("https://semena-nn.ru/catalog/42/999000002275","Фото")</f>
        <v>Фото</v>
      </c>
      <c r="H1321" s="18">
        <v>20.8</v>
      </c>
      <c r="I1321" s="27"/>
      <c r="J1321" s="13">
        <f>H1321*I1321</f>
        <v>0</v>
      </c>
    </row>
    <row r="1322" spans="1:10" ht="12" customHeight="1">
      <c r="A1322" s="13" t="s">
        <v>4037</v>
      </c>
      <c r="B1322" s="13" t="s">
        <v>4038</v>
      </c>
      <c r="C1322" s="13" t="s">
        <v>825</v>
      </c>
      <c r="D1322" s="13" t="s">
        <v>3475</v>
      </c>
      <c r="E1322" s="13" t="s">
        <v>93</v>
      </c>
      <c r="F1322" s="13" t="s">
        <v>4039</v>
      </c>
      <c r="G1322" s="20" t="str">
        <f>HYPERLINK("http://semena-nn.ru/catalog/42/1116439","Фото")</f>
        <v>Фото</v>
      </c>
      <c r="H1322" s="19">
        <v>22.55</v>
      </c>
      <c r="I1322" s="27"/>
      <c r="J1322" s="13">
        <f>H1322*I1322</f>
        <v>0</v>
      </c>
    </row>
    <row r="1323" spans="1:10" ht="12" customHeight="1">
      <c r="A1323" s="13" t="s">
        <v>4040</v>
      </c>
      <c r="B1323" s="13" t="s">
        <v>4041</v>
      </c>
      <c r="C1323" s="13" t="s">
        <v>825</v>
      </c>
      <c r="D1323" s="13" t="s">
        <v>3475</v>
      </c>
      <c r="E1323" s="13" t="s">
        <v>93</v>
      </c>
      <c r="F1323" s="13" t="s">
        <v>4042</v>
      </c>
      <c r="G1323" s="20" t="str">
        <f>HYPERLINK("https://semena-nn.ru/catalog/42/1309634","Фото")</f>
        <v>Фото</v>
      </c>
      <c r="H1323" s="19">
        <v>22.55</v>
      </c>
      <c r="I1323" s="27"/>
      <c r="J1323" s="13">
        <f>H1323*I1323</f>
        <v>0</v>
      </c>
    </row>
    <row r="1324" spans="1:10" ht="12" customHeight="1">
      <c r="A1324" s="13" t="s">
        <v>4989</v>
      </c>
      <c r="B1324" s="13" t="s">
        <v>4990</v>
      </c>
      <c r="C1324" s="13" t="s">
        <v>825</v>
      </c>
      <c r="D1324" s="13" t="s">
        <v>3475</v>
      </c>
      <c r="E1324" s="13" t="s">
        <v>2636</v>
      </c>
      <c r="F1324" s="13" t="s">
        <v>4991</v>
      </c>
      <c r="G1324" s="20" t="str">
        <f>HYPERLINK("https://semena-nn.ru/catalog/42/1311662","Фото")</f>
        <v>Фото</v>
      </c>
      <c r="H1324" s="19">
        <v>6.95</v>
      </c>
      <c r="I1324" s="27"/>
      <c r="J1324" s="13">
        <f>H1324*I1324</f>
        <v>0</v>
      </c>
    </row>
    <row r="1325" spans="1:10" ht="12" customHeight="1">
      <c r="A1325" s="13" t="s">
        <v>1526</v>
      </c>
      <c r="B1325" s="13" t="s">
        <v>1527</v>
      </c>
      <c r="C1325" s="13" t="s">
        <v>825</v>
      </c>
      <c r="D1325" s="13" t="s">
        <v>697</v>
      </c>
      <c r="E1325" s="13" t="s">
        <v>93</v>
      </c>
      <c r="F1325" s="13" t="s">
        <v>1528</v>
      </c>
      <c r="G1325" s="20" t="str">
        <f>HYPERLINK("https://semena-nn.ru/catalog/42/999000010986","Фото")</f>
        <v>Фото</v>
      </c>
      <c r="H1325" s="18">
        <v>18.7</v>
      </c>
      <c r="I1325" s="27"/>
      <c r="J1325" s="13">
        <f>H1325*I1325</f>
        <v>0</v>
      </c>
    </row>
    <row r="1326" spans="1:10" ht="12" customHeight="1">
      <c r="A1326" s="13" t="s">
        <v>1529</v>
      </c>
      <c r="B1326" s="13" t="s">
        <v>1530</v>
      </c>
      <c r="C1326" s="13" t="s">
        <v>825</v>
      </c>
      <c r="D1326" s="13" t="s">
        <v>697</v>
      </c>
      <c r="E1326" s="13" t="s">
        <v>93</v>
      </c>
      <c r="F1326" s="13" t="s">
        <v>1531</v>
      </c>
      <c r="G1326" s="20" t="str">
        <f>HYPERLINK("https://semena-nn.ru/catalog/42/1290517","Фото")</f>
        <v>Фото</v>
      </c>
      <c r="H1326" s="18">
        <v>17.8</v>
      </c>
      <c r="I1326" s="27"/>
      <c r="J1326" s="13">
        <f>H1326*I1326</f>
        <v>0</v>
      </c>
    </row>
    <row r="1327" spans="1:10" ht="12" customHeight="1">
      <c r="A1327" s="13" t="s">
        <v>4043</v>
      </c>
      <c r="B1327" s="13" t="s">
        <v>4044</v>
      </c>
      <c r="C1327" s="13" t="s">
        <v>825</v>
      </c>
      <c r="D1327" s="13" t="s">
        <v>3475</v>
      </c>
      <c r="E1327" s="13" t="s">
        <v>93</v>
      </c>
      <c r="F1327" s="13" t="s">
        <v>4045</v>
      </c>
      <c r="G1327" s="20" t="str">
        <f>HYPERLINK("https://semena-nn.ru/catalog/42/1309962","Фото")</f>
        <v>Фото</v>
      </c>
      <c r="H1327" s="18">
        <v>21.5</v>
      </c>
      <c r="I1327" s="27"/>
      <c r="J1327" s="13">
        <f>H1327*I1327</f>
        <v>0</v>
      </c>
    </row>
    <row r="1328" spans="1:10" ht="12" customHeight="1">
      <c r="A1328" s="13" t="s">
        <v>4992</v>
      </c>
      <c r="B1328" s="13" t="s">
        <v>4993</v>
      </c>
      <c r="C1328" s="13" t="s">
        <v>825</v>
      </c>
      <c r="D1328" s="13" t="s">
        <v>3475</v>
      </c>
      <c r="E1328" s="13" t="s">
        <v>2636</v>
      </c>
      <c r="F1328" s="13" t="s">
        <v>4994</v>
      </c>
      <c r="G1328" s="20" t="str">
        <f>HYPERLINK("https://semena-nn.ru/catalog/42/1312960","Фото")</f>
        <v>Фото</v>
      </c>
      <c r="H1328" s="18">
        <v>7.1</v>
      </c>
      <c r="I1328" s="27"/>
      <c r="J1328" s="13">
        <f>H1328*I1328</f>
        <v>0</v>
      </c>
    </row>
    <row r="1329" spans="1:10" ht="12" customHeight="1">
      <c r="A1329" s="13" t="s">
        <v>3338</v>
      </c>
      <c r="B1329" s="13" t="s">
        <v>3339</v>
      </c>
      <c r="C1329" s="13" t="s">
        <v>825</v>
      </c>
      <c r="D1329" s="13" t="s">
        <v>697</v>
      </c>
      <c r="E1329" s="13" t="s">
        <v>3064</v>
      </c>
      <c r="F1329" s="13" t="s">
        <v>3340</v>
      </c>
      <c r="G1329" s="20" t="str">
        <f>HYPERLINK("http://semena-nn.ru/catalog/42/1307350","Фото")</f>
        <v>Фото</v>
      </c>
      <c r="H1329" s="19">
        <v>12.65</v>
      </c>
      <c r="I1329" s="27"/>
      <c r="J1329" s="13">
        <f>H1329*I1329</f>
        <v>0</v>
      </c>
    </row>
    <row r="1330" spans="1:10" ht="12" customHeight="1">
      <c r="A1330" s="13" t="s">
        <v>4046</v>
      </c>
      <c r="B1330" s="13" t="s">
        <v>4047</v>
      </c>
      <c r="C1330" s="13" t="s">
        <v>825</v>
      </c>
      <c r="D1330" s="13" t="s">
        <v>3475</v>
      </c>
      <c r="E1330" s="13" t="s">
        <v>93</v>
      </c>
      <c r="F1330" s="13" t="s">
        <v>4048</v>
      </c>
      <c r="G1330" s="20" t="str">
        <f>HYPERLINK("http://semena-nn.ru/catalog/42/611","Фото")</f>
        <v>Фото</v>
      </c>
      <c r="H1330" s="18">
        <v>21.5</v>
      </c>
      <c r="I1330" s="27"/>
      <c r="J1330" s="13">
        <f>H1330*I1330</f>
        <v>0</v>
      </c>
    </row>
    <row r="1331" spans="1:10" ht="12" customHeight="1">
      <c r="A1331" s="13" t="s">
        <v>1532</v>
      </c>
      <c r="B1331" s="13" t="s">
        <v>1533</v>
      </c>
      <c r="C1331" s="13" t="s">
        <v>825</v>
      </c>
      <c r="D1331" s="13" t="s">
        <v>697</v>
      </c>
      <c r="E1331" s="13" t="s">
        <v>93</v>
      </c>
      <c r="F1331" s="13" t="s">
        <v>1534</v>
      </c>
      <c r="G1331" s="20" t="str">
        <f>HYPERLINK("http://semena-nn.ru/catalog/42/999000001177","Фото")</f>
        <v>Фото</v>
      </c>
      <c r="H1331" s="18">
        <v>19.399999999999999</v>
      </c>
      <c r="I1331" s="27"/>
      <c r="J1331" s="13">
        <f>H1331*I1331</f>
        <v>0</v>
      </c>
    </row>
    <row r="1332" spans="1:10" ht="12" customHeight="1">
      <c r="A1332" s="13" t="s">
        <v>2947</v>
      </c>
      <c r="B1332" s="13" t="s">
        <v>2948</v>
      </c>
      <c r="C1332" s="13" t="s">
        <v>825</v>
      </c>
      <c r="D1332" s="13" t="s">
        <v>697</v>
      </c>
      <c r="E1332" s="13" t="s">
        <v>2636</v>
      </c>
      <c r="F1332" s="13" t="s">
        <v>2949</v>
      </c>
      <c r="G1332" s="20" t="str">
        <f>HYPERLINK("http://semena-nn.ru/catalog/42/1313229","Фото")</f>
        <v>Фото</v>
      </c>
      <c r="H1332" s="18">
        <v>7.2</v>
      </c>
      <c r="I1332" s="27"/>
      <c r="J1332" s="13">
        <f>H1332*I1332</f>
        <v>0</v>
      </c>
    </row>
    <row r="1333" spans="1:10" ht="12" customHeight="1">
      <c r="A1333" s="13" t="s">
        <v>1535</v>
      </c>
      <c r="B1333" s="13" t="s">
        <v>1536</v>
      </c>
      <c r="C1333" s="13" t="s">
        <v>825</v>
      </c>
      <c r="D1333" s="13" t="s">
        <v>697</v>
      </c>
      <c r="E1333" s="13" t="s">
        <v>93</v>
      </c>
      <c r="F1333" s="13" t="s">
        <v>1537</v>
      </c>
      <c r="G1333" s="20" t="str">
        <f>HYPERLINK("https://semena-nn.ru/catalog/42/1314048","Фото")</f>
        <v>Фото</v>
      </c>
      <c r="H1333" s="18">
        <v>18.7</v>
      </c>
      <c r="I1333" s="27"/>
      <c r="J1333" s="13">
        <f>H1333*I1333</f>
        <v>0</v>
      </c>
    </row>
    <row r="1334" spans="1:10" ht="12" customHeight="1">
      <c r="A1334" s="13" t="s">
        <v>3341</v>
      </c>
      <c r="B1334" s="13" t="s">
        <v>3342</v>
      </c>
      <c r="C1334" s="13" t="s">
        <v>825</v>
      </c>
      <c r="D1334" s="13" t="s">
        <v>697</v>
      </c>
      <c r="E1334" s="13" t="s">
        <v>3064</v>
      </c>
      <c r="F1334" s="13" t="s">
        <v>3343</v>
      </c>
      <c r="G1334" s="20" t="str">
        <f>HYPERLINK("http://semena-nn.ru/catalog/42/1288975","Фото")</f>
        <v>Фото</v>
      </c>
      <c r="H1334" s="19">
        <v>13.65</v>
      </c>
      <c r="I1334" s="27"/>
      <c r="J1334" s="13">
        <f>H1334*I1334</f>
        <v>0</v>
      </c>
    </row>
    <row r="1335" spans="1:10" ht="12" customHeight="1">
      <c r="A1335" s="13" t="s">
        <v>4049</v>
      </c>
      <c r="B1335" s="13" t="s">
        <v>4050</v>
      </c>
      <c r="C1335" s="13" t="s">
        <v>825</v>
      </c>
      <c r="D1335" s="13" t="s">
        <v>3475</v>
      </c>
      <c r="E1335" s="13" t="s">
        <v>93</v>
      </c>
      <c r="F1335" s="13" t="s">
        <v>4051</v>
      </c>
      <c r="G1335" s="20" t="str">
        <f>HYPERLINK("http://semena-nn.ru/catalog/42/1285723","Фото")</f>
        <v>Фото</v>
      </c>
      <c r="H1335" s="18">
        <v>19.2</v>
      </c>
      <c r="I1335" s="27"/>
      <c r="J1335" s="13">
        <f>H1335*I1335</f>
        <v>0</v>
      </c>
    </row>
    <row r="1336" spans="1:10" ht="12" customHeight="1">
      <c r="A1336" s="13" t="s">
        <v>1538</v>
      </c>
      <c r="B1336" s="13" t="s">
        <v>1539</v>
      </c>
      <c r="C1336" s="13" t="s">
        <v>825</v>
      </c>
      <c r="D1336" s="13" t="s">
        <v>697</v>
      </c>
      <c r="E1336" s="13" t="s">
        <v>93</v>
      </c>
      <c r="F1336" s="13" t="s">
        <v>1540</v>
      </c>
      <c r="G1336" s="20" t="str">
        <f>HYPERLINK("https://semena-nn.ru/catalog/42/888000007978","Фото")</f>
        <v>Фото</v>
      </c>
      <c r="H1336" s="18">
        <v>31.9</v>
      </c>
      <c r="I1336" s="27"/>
      <c r="J1336" s="13">
        <f>H1336*I1336</f>
        <v>0</v>
      </c>
    </row>
    <row r="1337" spans="1:10" ht="12" customHeight="1">
      <c r="A1337" s="13" t="s">
        <v>4052</v>
      </c>
      <c r="B1337" s="13" t="s">
        <v>4053</v>
      </c>
      <c r="C1337" s="13" t="s">
        <v>825</v>
      </c>
      <c r="D1337" s="13" t="s">
        <v>3475</v>
      </c>
      <c r="E1337" s="13" t="s">
        <v>93</v>
      </c>
      <c r="F1337" s="13" t="s">
        <v>4054</v>
      </c>
      <c r="G1337" s="20" t="str">
        <f>HYPERLINK("http://semena-nn.ru/catalog/42/999000006097","Фото")</f>
        <v>Фото</v>
      </c>
      <c r="H1337" s="18">
        <v>18.7</v>
      </c>
      <c r="I1337" s="27"/>
      <c r="J1337" s="13">
        <f>H1337*I1337</f>
        <v>0</v>
      </c>
    </row>
    <row r="1338" spans="1:10" ht="12" customHeight="1">
      <c r="A1338" s="13" t="s">
        <v>1541</v>
      </c>
      <c r="B1338" s="13" t="s">
        <v>1542</v>
      </c>
      <c r="C1338" s="13" t="s">
        <v>825</v>
      </c>
      <c r="D1338" s="13" t="s">
        <v>697</v>
      </c>
      <c r="E1338" s="13" t="s">
        <v>93</v>
      </c>
      <c r="F1338" s="13" t="s">
        <v>1543</v>
      </c>
      <c r="G1338" s="20" t="str">
        <f>HYPERLINK("http://semena-nn.ru/catalog/42/1122279","Фото")</f>
        <v>Фото</v>
      </c>
      <c r="H1338" s="18">
        <v>22.9</v>
      </c>
      <c r="I1338" s="27"/>
      <c r="J1338" s="13">
        <f>H1338*I1338</f>
        <v>0</v>
      </c>
    </row>
    <row r="1339" spans="1:10" ht="12" customHeight="1">
      <c r="A1339" s="13" t="s">
        <v>3344</v>
      </c>
      <c r="B1339" s="13" t="s">
        <v>3345</v>
      </c>
      <c r="C1339" s="13" t="s">
        <v>825</v>
      </c>
      <c r="D1339" s="13" t="s">
        <v>697</v>
      </c>
      <c r="E1339" s="13" t="s">
        <v>3064</v>
      </c>
      <c r="F1339" s="13" t="s">
        <v>3346</v>
      </c>
      <c r="G1339" s="20" t="str">
        <f>HYPERLINK("http://semena-nn.ru/catalog/42/1288117","Фото")</f>
        <v>Фото</v>
      </c>
      <c r="H1339" s="19">
        <v>12.65</v>
      </c>
      <c r="I1339" s="27"/>
      <c r="J1339" s="13">
        <f>H1339*I1339</f>
        <v>0</v>
      </c>
    </row>
    <row r="1340" spans="1:10" ht="12" customHeight="1">
      <c r="A1340" s="13" t="s">
        <v>1544</v>
      </c>
      <c r="B1340" s="13" t="s">
        <v>1545</v>
      </c>
      <c r="C1340" s="13" t="s">
        <v>825</v>
      </c>
      <c r="D1340" s="13" t="s">
        <v>697</v>
      </c>
      <c r="E1340" s="13" t="s">
        <v>93</v>
      </c>
      <c r="F1340" s="13" t="s">
        <v>1546</v>
      </c>
      <c r="G1340" s="20" t="str">
        <f>HYPERLINK("http://semena-nn.ru/catalog/42/1290757","Фото")</f>
        <v>Фото</v>
      </c>
      <c r="H1340" s="18">
        <v>18.7</v>
      </c>
      <c r="I1340" s="27"/>
      <c r="J1340" s="13">
        <f>H1340*I1340</f>
        <v>0</v>
      </c>
    </row>
    <row r="1341" spans="1:10" ht="12" customHeight="1">
      <c r="A1341" s="13" t="s">
        <v>2950</v>
      </c>
      <c r="B1341" s="13" t="s">
        <v>2951</v>
      </c>
      <c r="C1341" s="13" t="s">
        <v>825</v>
      </c>
      <c r="D1341" s="13" t="s">
        <v>697</v>
      </c>
      <c r="E1341" s="13" t="s">
        <v>2636</v>
      </c>
      <c r="F1341" s="13" t="s">
        <v>2952</v>
      </c>
      <c r="G1341" s="20" t="str">
        <f>HYPERLINK("https://semena-nn.ru/catalog/42/999000010971","Фото")</f>
        <v>Фото</v>
      </c>
      <c r="H1341" s="19">
        <v>6.85</v>
      </c>
      <c r="I1341" s="27"/>
      <c r="J1341" s="13">
        <f>H1341*I1341</f>
        <v>0</v>
      </c>
    </row>
    <row r="1342" spans="1:10" ht="12" customHeight="1">
      <c r="A1342" s="13" t="s">
        <v>3347</v>
      </c>
      <c r="B1342" s="13" t="s">
        <v>3348</v>
      </c>
      <c r="C1342" s="13" t="s">
        <v>825</v>
      </c>
      <c r="D1342" s="13" t="s">
        <v>697</v>
      </c>
      <c r="E1342" s="13" t="s">
        <v>3064</v>
      </c>
      <c r="F1342" s="13" t="s">
        <v>3349</v>
      </c>
      <c r="G1342" s="20" t="str">
        <f>HYPERLINK("http://semena-nn.ru/catalog/42/1314648","Фото")</f>
        <v>Фото</v>
      </c>
      <c r="H1342" s="19">
        <v>12.65</v>
      </c>
      <c r="I1342" s="27"/>
      <c r="J1342" s="13">
        <f>H1342*I1342</f>
        <v>0</v>
      </c>
    </row>
    <row r="1343" spans="1:10" ht="12" customHeight="1">
      <c r="A1343" s="13" t="s">
        <v>1547</v>
      </c>
      <c r="B1343" s="13" t="s">
        <v>1548</v>
      </c>
      <c r="C1343" s="13" t="s">
        <v>825</v>
      </c>
      <c r="D1343" s="13" t="s">
        <v>697</v>
      </c>
      <c r="E1343" s="13" t="s">
        <v>93</v>
      </c>
      <c r="F1343" s="13" t="s">
        <v>1549</v>
      </c>
      <c r="G1343" s="20" t="str">
        <f>HYPERLINK("https://semena-nn.ru/catalog/42/999000011816","Фото")</f>
        <v>Фото</v>
      </c>
      <c r="H1343" s="18">
        <v>17.8</v>
      </c>
      <c r="I1343" s="27"/>
      <c r="J1343" s="13">
        <f>H1343*I1343</f>
        <v>0</v>
      </c>
    </row>
    <row r="1344" spans="1:10" ht="12" customHeight="1">
      <c r="A1344" s="13" t="s">
        <v>1550</v>
      </c>
      <c r="B1344" s="13" t="s">
        <v>1551</v>
      </c>
      <c r="C1344" s="13" t="s">
        <v>825</v>
      </c>
      <c r="D1344" s="13" t="s">
        <v>697</v>
      </c>
      <c r="E1344" s="13" t="s">
        <v>93</v>
      </c>
      <c r="F1344" s="13" t="s">
        <v>1552</v>
      </c>
      <c r="G1344" s="20" t="str">
        <f>HYPERLINK("https://semena-nn.ru/catalog/42/999000011817","Фото")</f>
        <v>Фото</v>
      </c>
      <c r="H1344" s="19">
        <v>20.85</v>
      </c>
      <c r="I1344" s="27"/>
      <c r="J1344" s="13">
        <f>H1344*I1344</f>
        <v>0</v>
      </c>
    </row>
    <row r="1345" spans="1:10" ht="12" customHeight="1">
      <c r="A1345" s="13" t="s">
        <v>3350</v>
      </c>
      <c r="B1345" s="13" t="s">
        <v>3351</v>
      </c>
      <c r="C1345" s="13" t="s">
        <v>825</v>
      </c>
      <c r="D1345" s="13" t="s">
        <v>697</v>
      </c>
      <c r="E1345" s="13" t="s">
        <v>3064</v>
      </c>
      <c r="F1345" s="13" t="s">
        <v>3352</v>
      </c>
      <c r="G1345" s="20" t="str">
        <f>HYPERLINK("http://semena-nn.ru/catalog/42/1314649","Фото")</f>
        <v>Фото</v>
      </c>
      <c r="H1345" s="19">
        <v>12.65</v>
      </c>
      <c r="I1345" s="27"/>
      <c r="J1345" s="13">
        <f>H1345*I1345</f>
        <v>0</v>
      </c>
    </row>
    <row r="1346" spans="1:10" ht="12" customHeight="1">
      <c r="A1346" s="13" t="s">
        <v>1553</v>
      </c>
      <c r="B1346" s="13" t="s">
        <v>1554</v>
      </c>
      <c r="C1346" s="13" t="s">
        <v>825</v>
      </c>
      <c r="D1346" s="13" t="s">
        <v>697</v>
      </c>
      <c r="E1346" s="13" t="s">
        <v>93</v>
      </c>
      <c r="F1346" s="13" t="s">
        <v>1555</v>
      </c>
      <c r="G1346" s="20" t="str">
        <f>HYPERLINK("https://semena-nn.ru/catalog/42/999000009228","Фото")</f>
        <v>Фото</v>
      </c>
      <c r="H1346" s="18">
        <v>22.1</v>
      </c>
      <c r="I1346" s="27"/>
      <c r="J1346" s="13">
        <f>H1346*I1346</f>
        <v>0</v>
      </c>
    </row>
    <row r="1347" spans="1:10" ht="12" customHeight="1">
      <c r="A1347" s="13" t="s">
        <v>2953</v>
      </c>
      <c r="B1347" s="13" t="s">
        <v>2954</v>
      </c>
      <c r="C1347" s="13" t="s">
        <v>825</v>
      </c>
      <c r="D1347" s="13" t="s">
        <v>697</v>
      </c>
      <c r="E1347" s="13" t="s">
        <v>2636</v>
      </c>
      <c r="F1347" s="13" t="s">
        <v>2955</v>
      </c>
      <c r="G1347" s="20" t="str">
        <f>HYPERLINK("https://semena-nn.ru/catalog/42/999000010972","Фото")</f>
        <v>Фото</v>
      </c>
      <c r="H1347" s="18">
        <v>7.4</v>
      </c>
      <c r="I1347" s="27"/>
      <c r="J1347" s="13">
        <f>H1347*I1347</f>
        <v>0</v>
      </c>
    </row>
    <row r="1348" spans="1:10" ht="12" customHeight="1">
      <c r="A1348" s="13" t="s">
        <v>1556</v>
      </c>
      <c r="B1348" s="13" t="s">
        <v>1557</v>
      </c>
      <c r="C1348" s="13" t="s">
        <v>825</v>
      </c>
      <c r="D1348" s="13" t="s">
        <v>697</v>
      </c>
      <c r="E1348" s="13" t="s">
        <v>93</v>
      </c>
      <c r="F1348" s="13" t="s">
        <v>1558</v>
      </c>
      <c r="G1348" s="20" t="str">
        <f>HYPERLINK("https://semena-nn.ru/catalog/42/999000008032","Фото")</f>
        <v>Фото</v>
      </c>
      <c r="H1348" s="18">
        <v>22.1</v>
      </c>
      <c r="I1348" s="27"/>
      <c r="J1348" s="13">
        <f>H1348*I1348</f>
        <v>0</v>
      </c>
    </row>
    <row r="1349" spans="1:10" ht="12" customHeight="1">
      <c r="A1349" s="13" t="s">
        <v>1559</v>
      </c>
      <c r="B1349" s="13" t="s">
        <v>1560</v>
      </c>
      <c r="C1349" s="13" t="s">
        <v>825</v>
      </c>
      <c r="D1349" s="13" t="s">
        <v>697</v>
      </c>
      <c r="E1349" s="13" t="s">
        <v>93</v>
      </c>
      <c r="F1349" s="13" t="s">
        <v>1561</v>
      </c>
      <c r="G1349" s="20" t="str">
        <f>HYPERLINK("https://semena-nn.ru/catalog/42/999000008825","Фото")</f>
        <v>Фото</v>
      </c>
      <c r="H1349" s="18">
        <v>21.9</v>
      </c>
      <c r="I1349" s="27"/>
      <c r="J1349" s="13">
        <f>H1349*I1349</f>
        <v>0</v>
      </c>
    </row>
    <row r="1350" spans="1:10" ht="12" customHeight="1">
      <c r="A1350" s="13" t="s">
        <v>1562</v>
      </c>
      <c r="B1350" s="13" t="s">
        <v>1563</v>
      </c>
      <c r="C1350" s="13" t="s">
        <v>825</v>
      </c>
      <c r="D1350" s="13" t="s">
        <v>697</v>
      </c>
      <c r="E1350" s="13" t="s">
        <v>93</v>
      </c>
      <c r="F1350" s="13" t="s">
        <v>1564</v>
      </c>
      <c r="G1350" s="20" t="str">
        <f>HYPERLINK("http://semena-nn.ru/catalog/42/113576","Фото")</f>
        <v>Фото</v>
      </c>
      <c r="H1350" s="18">
        <v>18.7</v>
      </c>
      <c r="I1350" s="27"/>
      <c r="J1350" s="13">
        <f>H1350*I1350</f>
        <v>0</v>
      </c>
    </row>
    <row r="1351" spans="1:10" ht="12" customHeight="1">
      <c r="A1351" s="13" t="s">
        <v>4055</v>
      </c>
      <c r="B1351" s="13" t="s">
        <v>4056</v>
      </c>
      <c r="C1351" s="13" t="s">
        <v>825</v>
      </c>
      <c r="D1351" s="13" t="s">
        <v>3475</v>
      </c>
      <c r="E1351" s="13" t="s">
        <v>93</v>
      </c>
      <c r="F1351" s="13" t="s">
        <v>4057</v>
      </c>
      <c r="G1351" s="20" t="str">
        <f>HYPERLINK("http://semena-nn.ru/catalog/42/111403","Фото")</f>
        <v>Фото</v>
      </c>
      <c r="H1351" s="18">
        <v>22.6</v>
      </c>
      <c r="I1351" s="27"/>
      <c r="J1351" s="13">
        <f>H1351*I1351</f>
        <v>0</v>
      </c>
    </row>
    <row r="1352" spans="1:10" ht="12" customHeight="1">
      <c r="A1352" s="13" t="s">
        <v>1565</v>
      </c>
      <c r="B1352" s="13" t="s">
        <v>1566</v>
      </c>
      <c r="C1352" s="13" t="s">
        <v>825</v>
      </c>
      <c r="D1352" s="13" t="s">
        <v>697</v>
      </c>
      <c r="E1352" s="13" t="s">
        <v>93</v>
      </c>
      <c r="F1352" s="13" t="s">
        <v>1567</v>
      </c>
      <c r="G1352" s="20" t="str">
        <f>HYPERLINK("http://semena-nn.ru/catalog/42/1309939","Фото")</f>
        <v>Фото</v>
      </c>
      <c r="H1352" s="18">
        <v>19.899999999999999</v>
      </c>
      <c r="I1352" s="27"/>
      <c r="J1352" s="13">
        <f>H1352*I1352</f>
        <v>0</v>
      </c>
    </row>
    <row r="1353" spans="1:10" ht="12" customHeight="1">
      <c r="A1353" s="13" t="s">
        <v>8093</v>
      </c>
      <c r="B1353" s="13" t="s">
        <v>8094</v>
      </c>
      <c r="C1353" s="13" t="s">
        <v>825</v>
      </c>
      <c r="D1353" s="13" t="s">
        <v>7728</v>
      </c>
      <c r="E1353" s="13" t="s">
        <v>93</v>
      </c>
      <c r="F1353" s="13" t="s">
        <v>8095</v>
      </c>
      <c r="G1353" s="20" t="str">
        <f>HYPERLINK("http://semena-nn.ru/catalog/42/1282749","Фото")</f>
        <v>Фото</v>
      </c>
      <c r="H1353" s="18">
        <v>22.2</v>
      </c>
      <c r="I1353" s="27"/>
      <c r="J1353" s="13">
        <f>H1353*I1353</f>
        <v>0</v>
      </c>
    </row>
    <row r="1354" spans="1:10" ht="12" customHeight="1">
      <c r="A1354" s="13" t="s">
        <v>4058</v>
      </c>
      <c r="B1354" s="13" t="s">
        <v>4059</v>
      </c>
      <c r="C1354" s="13" t="s">
        <v>825</v>
      </c>
      <c r="D1354" s="13" t="s">
        <v>3475</v>
      </c>
      <c r="E1354" s="13" t="s">
        <v>93</v>
      </c>
      <c r="F1354" s="13" t="s">
        <v>4060</v>
      </c>
      <c r="G1354" s="20" t="str">
        <f>HYPERLINK("http://semena-nn.ru/catalog/42/96840","Фото")</f>
        <v>Фото</v>
      </c>
      <c r="H1354" s="18">
        <v>22.6</v>
      </c>
      <c r="I1354" s="27"/>
      <c r="J1354" s="13">
        <f>H1354*I1354</f>
        <v>0</v>
      </c>
    </row>
    <row r="1355" spans="1:10" ht="12" customHeight="1">
      <c r="A1355" s="13" t="s">
        <v>4061</v>
      </c>
      <c r="B1355" s="13" t="s">
        <v>4062</v>
      </c>
      <c r="C1355" s="13" t="s">
        <v>825</v>
      </c>
      <c r="D1355" s="13" t="s">
        <v>3475</v>
      </c>
      <c r="E1355" s="13" t="s">
        <v>93</v>
      </c>
      <c r="F1355" s="13" t="s">
        <v>4063</v>
      </c>
      <c r="G1355" s="20" t="str">
        <f>HYPERLINK("http://semena-nn.ru/catalog/42/91841","Фото")</f>
        <v>Фото</v>
      </c>
      <c r="H1355" s="19">
        <v>20.55</v>
      </c>
      <c r="I1355" s="27"/>
      <c r="J1355" s="13">
        <f>H1355*I1355</f>
        <v>0</v>
      </c>
    </row>
    <row r="1356" spans="1:10" ht="12" customHeight="1">
      <c r="A1356" s="13" t="s">
        <v>3353</v>
      </c>
      <c r="B1356" s="13" t="s">
        <v>3354</v>
      </c>
      <c r="C1356" s="13" t="s">
        <v>825</v>
      </c>
      <c r="D1356" s="13" t="s">
        <v>697</v>
      </c>
      <c r="E1356" s="13" t="s">
        <v>3064</v>
      </c>
      <c r="F1356" s="13" t="s">
        <v>3355</v>
      </c>
      <c r="G1356" s="20" t="str">
        <f>HYPERLINK("http://semena-nn.ru/catalog/42/1288118","Фото")</f>
        <v>Фото</v>
      </c>
      <c r="H1356" s="18">
        <v>14.5</v>
      </c>
      <c r="I1356" s="27"/>
      <c r="J1356" s="13">
        <f>H1356*I1356</f>
        <v>0</v>
      </c>
    </row>
    <row r="1357" spans="1:10" ht="12" customHeight="1">
      <c r="A1357" s="13" t="s">
        <v>4064</v>
      </c>
      <c r="B1357" s="13" t="s">
        <v>4065</v>
      </c>
      <c r="C1357" s="13" t="s">
        <v>825</v>
      </c>
      <c r="D1357" s="13" t="s">
        <v>3475</v>
      </c>
      <c r="E1357" s="13" t="s">
        <v>93</v>
      </c>
      <c r="F1357" s="17" t="s">
        <v>4066</v>
      </c>
      <c r="G1357" s="20" t="str">
        <f>HYPERLINK("https://semena-nn.ru/catalog/42/999000012784","Фото")</f>
        <v>Фото</v>
      </c>
      <c r="H1357" s="19">
        <v>23.15</v>
      </c>
      <c r="I1357" s="27"/>
      <c r="J1357" s="13">
        <f>H1357*I1357</f>
        <v>0</v>
      </c>
    </row>
    <row r="1358" spans="1:10" ht="12" customHeight="1">
      <c r="A1358" s="13" t="s">
        <v>1568</v>
      </c>
      <c r="B1358" s="13" t="s">
        <v>1569</v>
      </c>
      <c r="C1358" s="13" t="s">
        <v>825</v>
      </c>
      <c r="D1358" s="13" t="s">
        <v>697</v>
      </c>
      <c r="E1358" s="13" t="s">
        <v>93</v>
      </c>
      <c r="F1358" s="13" t="s">
        <v>1570</v>
      </c>
      <c r="G1358" s="20" t="str">
        <f>HYPERLINK("http://semena-nn.ru/catalog/42/104362","Фото")</f>
        <v>Фото</v>
      </c>
      <c r="H1358" s="18">
        <v>20.2</v>
      </c>
      <c r="I1358" s="27"/>
      <c r="J1358" s="13">
        <f>H1358*I1358</f>
        <v>0</v>
      </c>
    </row>
    <row r="1359" spans="1:10" ht="12" customHeight="1">
      <c r="A1359" s="13" t="s">
        <v>1571</v>
      </c>
      <c r="B1359" s="13" t="s">
        <v>1572</v>
      </c>
      <c r="C1359" s="13" t="s">
        <v>825</v>
      </c>
      <c r="D1359" s="13" t="s">
        <v>697</v>
      </c>
      <c r="E1359" s="13" t="s">
        <v>93</v>
      </c>
      <c r="F1359" s="13" t="s">
        <v>1573</v>
      </c>
      <c r="G1359" s="20" t="str">
        <f>HYPERLINK("https://semena-nn.ru/catalog/42/999000009169","Фото")</f>
        <v>Фото</v>
      </c>
      <c r="H1359" s="18">
        <v>32.299999999999997</v>
      </c>
      <c r="I1359" s="27"/>
      <c r="J1359" s="13">
        <f>H1359*I1359</f>
        <v>0</v>
      </c>
    </row>
    <row r="1360" spans="1:10" ht="12" customHeight="1">
      <c r="A1360" s="13" t="s">
        <v>4067</v>
      </c>
      <c r="B1360" s="13" t="s">
        <v>4068</v>
      </c>
      <c r="C1360" s="13" t="s">
        <v>825</v>
      </c>
      <c r="D1360" s="13" t="s">
        <v>3475</v>
      </c>
      <c r="E1360" s="13" t="s">
        <v>93</v>
      </c>
      <c r="F1360" s="13" t="s">
        <v>4069</v>
      </c>
      <c r="G1360" s="20" t="str">
        <f>HYPERLINK("http://semena-nn.ru/catalog/42/98886","Фото")</f>
        <v>Фото</v>
      </c>
      <c r="H1360" s="18">
        <v>18.100000000000001</v>
      </c>
      <c r="I1360" s="27"/>
      <c r="J1360" s="13">
        <f>H1360*I1360</f>
        <v>0</v>
      </c>
    </row>
    <row r="1361" spans="1:10" ht="12" customHeight="1">
      <c r="A1361" s="13" t="s">
        <v>4070</v>
      </c>
      <c r="B1361" s="13" t="s">
        <v>4071</v>
      </c>
      <c r="C1361" s="13" t="s">
        <v>825</v>
      </c>
      <c r="D1361" s="13" t="s">
        <v>3475</v>
      </c>
      <c r="E1361" s="13" t="s">
        <v>93</v>
      </c>
      <c r="F1361" s="13" t="s">
        <v>4072</v>
      </c>
      <c r="G1361" s="20" t="str">
        <f>HYPERLINK("https://semena-nn.ru/catalog/42/999000009372","Фото")</f>
        <v>Фото</v>
      </c>
      <c r="H1361" s="18">
        <v>21.5</v>
      </c>
      <c r="I1361" s="27"/>
      <c r="J1361" s="13">
        <f>H1361*I1361</f>
        <v>0</v>
      </c>
    </row>
    <row r="1362" spans="1:10" ht="12" customHeight="1">
      <c r="A1362" s="13" t="s">
        <v>1574</v>
      </c>
      <c r="B1362" s="13" t="s">
        <v>1575</v>
      </c>
      <c r="C1362" s="13" t="s">
        <v>825</v>
      </c>
      <c r="D1362" s="13" t="s">
        <v>697</v>
      </c>
      <c r="E1362" s="13" t="s">
        <v>93</v>
      </c>
      <c r="F1362" s="13" t="s">
        <v>1576</v>
      </c>
      <c r="G1362" s="20" t="str">
        <f>HYPERLINK("https://semena-nn.ru/catalog/42/888000007979","Фото")</f>
        <v>Фото</v>
      </c>
      <c r="H1362" s="19">
        <v>29.15</v>
      </c>
      <c r="I1362" s="27"/>
      <c r="J1362" s="13">
        <f>H1362*I1362</f>
        <v>0</v>
      </c>
    </row>
    <row r="1363" spans="1:10" ht="12" customHeight="1">
      <c r="A1363" s="13" t="s">
        <v>4073</v>
      </c>
      <c r="B1363" s="13" t="s">
        <v>4074</v>
      </c>
      <c r="C1363" s="13" t="s">
        <v>825</v>
      </c>
      <c r="D1363" s="13" t="s">
        <v>3475</v>
      </c>
      <c r="E1363" s="13" t="s">
        <v>93</v>
      </c>
      <c r="F1363" s="13" t="s">
        <v>4075</v>
      </c>
      <c r="G1363" s="20" t="str">
        <f>HYPERLINK("http://semena-nn.ru/catalog/42/1125255","Фото")</f>
        <v>Фото</v>
      </c>
      <c r="H1363" s="19">
        <v>23.85</v>
      </c>
      <c r="I1363" s="27"/>
      <c r="J1363" s="13">
        <f>H1363*I1363</f>
        <v>0</v>
      </c>
    </row>
    <row r="1364" spans="1:10" ht="12" customHeight="1">
      <c r="A1364" s="13" t="s">
        <v>2956</v>
      </c>
      <c r="B1364" s="13" t="s">
        <v>2957</v>
      </c>
      <c r="C1364" s="13" t="s">
        <v>825</v>
      </c>
      <c r="D1364" s="13" t="s">
        <v>697</v>
      </c>
      <c r="E1364" s="13" t="s">
        <v>2636</v>
      </c>
      <c r="F1364" s="17" t="s">
        <v>2958</v>
      </c>
      <c r="G1364" s="20" t="str">
        <f>HYPERLINK("http://semena-nn.ru/catalog/42/1284626","Фото")</f>
        <v>Фото</v>
      </c>
      <c r="H1364" s="19">
        <v>10.75</v>
      </c>
      <c r="I1364" s="27"/>
      <c r="J1364" s="13">
        <f>H1364*I1364</f>
        <v>0</v>
      </c>
    </row>
    <row r="1365" spans="1:10" ht="12" customHeight="1">
      <c r="A1365" s="13" t="s">
        <v>3356</v>
      </c>
      <c r="B1365" s="13" t="s">
        <v>3357</v>
      </c>
      <c r="C1365" s="13" t="s">
        <v>825</v>
      </c>
      <c r="D1365" s="13" t="s">
        <v>697</v>
      </c>
      <c r="E1365" s="13" t="s">
        <v>93</v>
      </c>
      <c r="F1365" s="13" t="s">
        <v>3358</v>
      </c>
      <c r="G1365" s="20" t="str">
        <f>HYPERLINK("http://semena-nn.ru/catalog/42/999000004126","Фото")</f>
        <v>Фото</v>
      </c>
      <c r="H1365" s="19">
        <v>14.65</v>
      </c>
      <c r="I1365" s="27"/>
      <c r="J1365" s="13">
        <f>H1365*I1365</f>
        <v>0</v>
      </c>
    </row>
    <row r="1366" spans="1:10" ht="12" customHeight="1">
      <c r="A1366" s="13" t="s">
        <v>3359</v>
      </c>
      <c r="B1366" s="13" t="s">
        <v>3360</v>
      </c>
      <c r="C1366" s="13" t="s">
        <v>825</v>
      </c>
      <c r="D1366" s="13" t="s">
        <v>697</v>
      </c>
      <c r="E1366" s="13" t="s">
        <v>3064</v>
      </c>
      <c r="F1366" s="13" t="s">
        <v>3361</v>
      </c>
      <c r="G1366" s="20" t="str">
        <f>HYPERLINK("http://semena-nn.ru/catalog/42/1314438","Фото")</f>
        <v>Фото</v>
      </c>
      <c r="H1366" s="19">
        <v>12.65</v>
      </c>
      <c r="I1366" s="27"/>
      <c r="J1366" s="13">
        <f>H1366*I1366</f>
        <v>0</v>
      </c>
    </row>
    <row r="1367" spans="1:10" ht="12" customHeight="1">
      <c r="A1367" s="13" t="s">
        <v>2959</v>
      </c>
      <c r="B1367" s="13" t="s">
        <v>2960</v>
      </c>
      <c r="C1367" s="13" t="s">
        <v>825</v>
      </c>
      <c r="D1367" s="13" t="s">
        <v>697</v>
      </c>
      <c r="E1367" s="13" t="s">
        <v>2636</v>
      </c>
      <c r="F1367" s="13" t="s">
        <v>2961</v>
      </c>
      <c r="G1367" s="20" t="str">
        <f>HYPERLINK("http://semena-nn.ru/catalog/42/91917","Фото")</f>
        <v>Фото</v>
      </c>
      <c r="H1367" s="19">
        <v>10.85</v>
      </c>
      <c r="I1367" s="27"/>
      <c r="J1367" s="13">
        <f>H1367*I1367</f>
        <v>0</v>
      </c>
    </row>
    <row r="1368" spans="1:10" ht="12" customHeight="1">
      <c r="A1368" s="13" t="s">
        <v>4076</v>
      </c>
      <c r="B1368" s="13" t="s">
        <v>4077</v>
      </c>
      <c r="C1368" s="13" t="s">
        <v>825</v>
      </c>
      <c r="D1368" s="13" t="s">
        <v>3475</v>
      </c>
      <c r="E1368" s="13" t="s">
        <v>93</v>
      </c>
      <c r="F1368" s="13" t="s">
        <v>4078</v>
      </c>
      <c r="G1368" s="20" t="str">
        <f>HYPERLINK("http://semena-nn.ru/catalog/42/1302258","Фото")</f>
        <v>Фото</v>
      </c>
      <c r="H1368" s="18">
        <v>16.2</v>
      </c>
      <c r="I1368" s="27"/>
      <c r="J1368" s="13">
        <f>H1368*I1368</f>
        <v>0</v>
      </c>
    </row>
    <row r="1369" spans="1:10" ht="12" customHeight="1">
      <c r="A1369" s="13" t="s">
        <v>5031</v>
      </c>
      <c r="B1369" s="13" t="s">
        <v>5032</v>
      </c>
      <c r="C1369" s="13" t="s">
        <v>825</v>
      </c>
      <c r="D1369" s="13" t="s">
        <v>3475</v>
      </c>
      <c r="E1369" s="13" t="s">
        <v>5009</v>
      </c>
      <c r="F1369" s="13" t="s">
        <v>5033</v>
      </c>
      <c r="G1369" s="20" t="str">
        <f>HYPERLINK("https://semena-nn.ru/catalog/42/1312801","Фото")</f>
        <v>Фото</v>
      </c>
      <c r="H1369" s="19">
        <v>12.61</v>
      </c>
      <c r="I1369" s="27"/>
      <c r="J1369" s="13">
        <f>H1369*I1369</f>
        <v>0</v>
      </c>
    </row>
    <row r="1370" spans="1:10" ht="12" customHeight="1">
      <c r="A1370" s="13" t="s">
        <v>3362</v>
      </c>
      <c r="B1370" s="13" t="s">
        <v>3363</v>
      </c>
      <c r="C1370" s="13" t="s">
        <v>825</v>
      </c>
      <c r="D1370" s="13" t="s">
        <v>697</v>
      </c>
      <c r="E1370" s="13" t="s">
        <v>3064</v>
      </c>
      <c r="F1370" s="13" t="s">
        <v>3364</v>
      </c>
      <c r="G1370" s="20" t="str">
        <f>HYPERLINK("https://semena-nn.ru/catalog/42/1288663","Фото")</f>
        <v>Фото</v>
      </c>
      <c r="H1370" s="15">
        <v>15</v>
      </c>
      <c r="I1370" s="27"/>
      <c r="J1370" s="13">
        <f>H1370*I1370</f>
        <v>0</v>
      </c>
    </row>
    <row r="1371" spans="1:10" ht="12" customHeight="1">
      <c r="A1371" s="13" t="s">
        <v>1577</v>
      </c>
      <c r="B1371" s="13" t="s">
        <v>1578</v>
      </c>
      <c r="C1371" s="13" t="s">
        <v>825</v>
      </c>
      <c r="D1371" s="13" t="s">
        <v>697</v>
      </c>
      <c r="E1371" s="13" t="s">
        <v>93</v>
      </c>
      <c r="F1371" s="13" t="s">
        <v>1579</v>
      </c>
      <c r="G1371" s="20" t="str">
        <f>HYPERLINK("https://semena-nn.ru/catalog/42/1124889","Фото")</f>
        <v>Фото</v>
      </c>
      <c r="H1371" s="18">
        <v>31.4</v>
      </c>
      <c r="I1371" s="27"/>
      <c r="J1371" s="13">
        <f>H1371*I1371</f>
        <v>0</v>
      </c>
    </row>
    <row r="1372" spans="1:10" ht="12" customHeight="1">
      <c r="A1372" s="13" t="s">
        <v>2962</v>
      </c>
      <c r="B1372" s="13" t="s">
        <v>2963</v>
      </c>
      <c r="C1372" s="13" t="s">
        <v>825</v>
      </c>
      <c r="D1372" s="13" t="s">
        <v>697</v>
      </c>
      <c r="E1372" s="13" t="s">
        <v>2636</v>
      </c>
      <c r="F1372" s="13" t="s">
        <v>2964</v>
      </c>
      <c r="G1372" s="20" t="str">
        <f>HYPERLINK("http://semena-nn.ru/catalog/42/80418","Фото")</f>
        <v>Фото</v>
      </c>
      <c r="H1372" s="19">
        <v>7.45</v>
      </c>
      <c r="I1372" s="27"/>
      <c r="J1372" s="13">
        <f>H1372*I1372</f>
        <v>0</v>
      </c>
    </row>
    <row r="1373" spans="1:10" ht="12" customHeight="1">
      <c r="A1373" s="13" t="s">
        <v>4079</v>
      </c>
      <c r="B1373" s="13" t="s">
        <v>4080</v>
      </c>
      <c r="C1373" s="13" t="s">
        <v>825</v>
      </c>
      <c r="D1373" s="13" t="s">
        <v>3475</v>
      </c>
      <c r="E1373" s="13" t="s">
        <v>93</v>
      </c>
      <c r="F1373" s="13" t="s">
        <v>4081</v>
      </c>
      <c r="G1373" s="20" t="str">
        <f>HYPERLINK("http://semena-nn.ru/catalog/42/1306008","Фото")</f>
        <v>Фото</v>
      </c>
      <c r="H1373" s="18">
        <v>18.7</v>
      </c>
      <c r="I1373" s="27"/>
      <c r="J1373" s="13">
        <f>H1373*I1373</f>
        <v>0</v>
      </c>
    </row>
    <row r="1374" spans="1:10" ht="12" customHeight="1">
      <c r="A1374" s="13" t="s">
        <v>2965</v>
      </c>
      <c r="B1374" s="13" t="s">
        <v>2966</v>
      </c>
      <c r="C1374" s="13" t="s">
        <v>825</v>
      </c>
      <c r="D1374" s="13" t="s">
        <v>697</v>
      </c>
      <c r="E1374" s="13" t="s">
        <v>2636</v>
      </c>
      <c r="F1374" s="13" t="s">
        <v>2967</v>
      </c>
      <c r="G1374" s="20" t="str">
        <f>HYPERLINK("http://semena-nn.ru/catalog/42/80417","Фото")</f>
        <v>Фото</v>
      </c>
      <c r="H1374" s="18">
        <v>7.5</v>
      </c>
      <c r="I1374" s="27"/>
      <c r="J1374" s="13">
        <f>H1374*I1374</f>
        <v>0</v>
      </c>
    </row>
    <row r="1375" spans="1:10" ht="12" customHeight="1">
      <c r="A1375" s="13" t="s">
        <v>1580</v>
      </c>
      <c r="B1375" s="13" t="s">
        <v>1581</v>
      </c>
      <c r="C1375" s="13" t="s">
        <v>825</v>
      </c>
      <c r="D1375" s="13" t="s">
        <v>697</v>
      </c>
      <c r="E1375" s="13" t="s">
        <v>93</v>
      </c>
      <c r="F1375" s="13" t="s">
        <v>1582</v>
      </c>
      <c r="G1375" s="20" t="str">
        <f>HYPERLINK("http://semena-nn.ru/catalog/42/1121524","Фото")</f>
        <v>Фото</v>
      </c>
      <c r="H1375" s="18">
        <v>19.3</v>
      </c>
      <c r="I1375" s="27"/>
      <c r="J1375" s="13">
        <f>H1375*I1375</f>
        <v>0</v>
      </c>
    </row>
    <row r="1376" spans="1:10" ht="12" customHeight="1">
      <c r="A1376" s="13" t="s">
        <v>7041</v>
      </c>
      <c r="B1376" s="13" t="s">
        <v>7042</v>
      </c>
      <c r="C1376" s="13" t="s">
        <v>825</v>
      </c>
      <c r="D1376" s="13" t="s">
        <v>6927</v>
      </c>
      <c r="E1376" s="13" t="s">
        <v>93</v>
      </c>
      <c r="F1376" s="13" t="s">
        <v>7043</v>
      </c>
      <c r="G1376" s="20" t="str">
        <f>HYPERLINK("https://semena-nn.ru/catalog/42/999000008199","Фото")</f>
        <v>Фото</v>
      </c>
      <c r="H1376" s="18">
        <v>26.4</v>
      </c>
      <c r="I1376" s="27"/>
      <c r="J1376" s="13">
        <f>H1376*I1376</f>
        <v>0</v>
      </c>
    </row>
    <row r="1377" spans="1:10" ht="12" customHeight="1">
      <c r="A1377" s="13" t="s">
        <v>3365</v>
      </c>
      <c r="B1377" s="13" t="s">
        <v>3366</v>
      </c>
      <c r="C1377" s="13" t="s">
        <v>825</v>
      </c>
      <c r="D1377" s="13" t="s">
        <v>697</v>
      </c>
      <c r="E1377" s="13" t="s">
        <v>3064</v>
      </c>
      <c r="F1377" s="13" t="s">
        <v>3367</v>
      </c>
      <c r="G1377" s="20" t="str">
        <f>HYPERLINK("http://semena-nn.ru/catalog/42/1307689","Фото")</f>
        <v>Фото</v>
      </c>
      <c r="H1377" s="19">
        <v>12.05</v>
      </c>
      <c r="I1377" s="27"/>
      <c r="J1377" s="13">
        <f>H1377*I1377</f>
        <v>0</v>
      </c>
    </row>
    <row r="1378" spans="1:10" ht="12" customHeight="1">
      <c r="A1378" s="13" t="s">
        <v>1583</v>
      </c>
      <c r="B1378" s="13" t="s">
        <v>1584</v>
      </c>
      <c r="C1378" s="13" t="s">
        <v>825</v>
      </c>
      <c r="D1378" s="13" t="s">
        <v>697</v>
      </c>
      <c r="E1378" s="13" t="s">
        <v>93</v>
      </c>
      <c r="F1378" s="13" t="s">
        <v>1585</v>
      </c>
      <c r="G1378" s="20" t="str">
        <f>HYPERLINK("https://semena-nn.ru/catalog/42/1298489","Фото")</f>
        <v>Фото</v>
      </c>
      <c r="H1378" s="18">
        <v>18.7</v>
      </c>
      <c r="I1378" s="27"/>
      <c r="J1378" s="13">
        <f>H1378*I1378</f>
        <v>0</v>
      </c>
    </row>
    <row r="1379" spans="1:10" ht="12" customHeight="1">
      <c r="A1379" s="13" t="s">
        <v>4082</v>
      </c>
      <c r="B1379" s="13" t="s">
        <v>4083</v>
      </c>
      <c r="C1379" s="13" t="s">
        <v>825</v>
      </c>
      <c r="D1379" s="13" t="s">
        <v>3475</v>
      </c>
      <c r="E1379" s="13" t="s">
        <v>93</v>
      </c>
      <c r="F1379" s="13" t="s">
        <v>4084</v>
      </c>
      <c r="G1379" s="20" t="str">
        <f>HYPERLINK("https://semena-nn.ru/catalog/42/1125684","Фото")</f>
        <v>Фото</v>
      </c>
      <c r="H1379" s="18">
        <v>18.100000000000001</v>
      </c>
      <c r="I1379" s="27"/>
      <c r="J1379" s="13">
        <f>H1379*I1379</f>
        <v>0</v>
      </c>
    </row>
    <row r="1380" spans="1:10" ht="12" customHeight="1">
      <c r="A1380" s="13" t="s">
        <v>4085</v>
      </c>
      <c r="B1380" s="13" t="s">
        <v>4086</v>
      </c>
      <c r="C1380" s="13" t="s">
        <v>825</v>
      </c>
      <c r="D1380" s="13" t="s">
        <v>3475</v>
      </c>
      <c r="E1380" s="13" t="s">
        <v>93</v>
      </c>
      <c r="F1380" s="13" t="s">
        <v>4087</v>
      </c>
      <c r="G1380" s="20" t="str">
        <f>HYPERLINK("http://semena-nn.ru/catalog/42/1125682","Фото")</f>
        <v>Фото</v>
      </c>
      <c r="H1380" s="19">
        <v>23.85</v>
      </c>
      <c r="I1380" s="27"/>
      <c r="J1380" s="13">
        <f>H1380*I1380</f>
        <v>0</v>
      </c>
    </row>
    <row r="1381" spans="1:10" ht="12" customHeight="1">
      <c r="A1381" s="13" t="s">
        <v>4088</v>
      </c>
      <c r="B1381" s="13" t="s">
        <v>4089</v>
      </c>
      <c r="C1381" s="13" t="s">
        <v>825</v>
      </c>
      <c r="D1381" s="13" t="s">
        <v>3475</v>
      </c>
      <c r="E1381" s="13" t="s">
        <v>93</v>
      </c>
      <c r="F1381" s="13" t="s">
        <v>4090</v>
      </c>
      <c r="G1381" s="20" t="str">
        <f>HYPERLINK("https://semena-nn.ru/catalog/42/999000009373","Фото")</f>
        <v>Фото</v>
      </c>
      <c r="H1381" s="19">
        <v>22.55</v>
      </c>
      <c r="I1381" s="27"/>
      <c r="J1381" s="13">
        <f>H1381*I1381</f>
        <v>0</v>
      </c>
    </row>
    <row r="1382" spans="1:10" ht="12" customHeight="1">
      <c r="A1382" s="13" t="s">
        <v>1586</v>
      </c>
      <c r="B1382" s="13" t="s">
        <v>1587</v>
      </c>
      <c r="C1382" s="13" t="s">
        <v>825</v>
      </c>
      <c r="D1382" s="13" t="s">
        <v>697</v>
      </c>
      <c r="E1382" s="13" t="s">
        <v>93</v>
      </c>
      <c r="F1382" s="13" t="s">
        <v>1588</v>
      </c>
      <c r="G1382" s="20" t="str">
        <f>HYPERLINK("https://semena-nn.ru/catalog/42/888000001488","Фото")</f>
        <v>Фото</v>
      </c>
      <c r="H1382" s="18">
        <v>18.7</v>
      </c>
      <c r="I1382" s="27"/>
      <c r="J1382" s="13">
        <f>H1382*I1382</f>
        <v>0</v>
      </c>
    </row>
    <row r="1383" spans="1:10" ht="12" customHeight="1">
      <c r="A1383" s="13" t="s">
        <v>1589</v>
      </c>
      <c r="B1383" s="13" t="s">
        <v>1590</v>
      </c>
      <c r="C1383" s="13" t="s">
        <v>825</v>
      </c>
      <c r="D1383" s="13" t="s">
        <v>697</v>
      </c>
      <c r="E1383" s="13" t="s">
        <v>93</v>
      </c>
      <c r="F1383" s="13" t="s">
        <v>1591</v>
      </c>
      <c r="G1383" s="20" t="str">
        <f>HYPERLINK("https://semena-nn.ru/catalog/42/888000000282","Фото")</f>
        <v>Фото</v>
      </c>
      <c r="H1383" s="18">
        <v>18.7</v>
      </c>
      <c r="I1383" s="27"/>
      <c r="J1383" s="13">
        <f>H1383*I1383</f>
        <v>0</v>
      </c>
    </row>
    <row r="1384" spans="1:10" ht="12" customHeight="1">
      <c r="A1384" s="13" t="s">
        <v>4091</v>
      </c>
      <c r="B1384" s="13" t="s">
        <v>4092</v>
      </c>
      <c r="C1384" s="13" t="s">
        <v>825</v>
      </c>
      <c r="D1384" s="13" t="s">
        <v>3475</v>
      </c>
      <c r="E1384" s="13" t="s">
        <v>93</v>
      </c>
      <c r="F1384" s="13" t="s">
        <v>4093</v>
      </c>
      <c r="G1384" s="20" t="str">
        <f>HYPERLINK("http://semena-nn.ru/catalog/42/1125683","Фото")</f>
        <v>Фото</v>
      </c>
      <c r="H1384" s="15">
        <v>25</v>
      </c>
      <c r="I1384" s="27"/>
      <c r="J1384" s="13">
        <f>H1384*I1384</f>
        <v>0</v>
      </c>
    </row>
    <row r="1385" spans="1:10" ht="12" customHeight="1">
      <c r="A1385" s="13" t="s">
        <v>2968</v>
      </c>
      <c r="B1385" s="13" t="s">
        <v>2969</v>
      </c>
      <c r="C1385" s="13" t="s">
        <v>825</v>
      </c>
      <c r="D1385" s="13" t="s">
        <v>697</v>
      </c>
      <c r="E1385" s="13" t="s">
        <v>2636</v>
      </c>
      <c r="F1385" s="13" t="s">
        <v>2970</v>
      </c>
      <c r="G1385" s="20" t="str">
        <f>HYPERLINK("http://semena-nn.ru/catalog/42/112983","Фото")</f>
        <v>Фото</v>
      </c>
      <c r="H1385" s="19">
        <v>6.85</v>
      </c>
      <c r="I1385" s="27"/>
      <c r="J1385" s="13">
        <f>H1385*I1385</f>
        <v>0</v>
      </c>
    </row>
    <row r="1386" spans="1:10" ht="12" customHeight="1">
      <c r="A1386" s="13" t="s">
        <v>2971</v>
      </c>
      <c r="B1386" s="13" t="s">
        <v>2972</v>
      </c>
      <c r="C1386" s="13" t="s">
        <v>825</v>
      </c>
      <c r="D1386" s="13" t="s">
        <v>697</v>
      </c>
      <c r="E1386" s="13" t="s">
        <v>2636</v>
      </c>
      <c r="F1386" s="13" t="s">
        <v>2973</v>
      </c>
      <c r="G1386" s="20" t="str">
        <f>HYPERLINK("http://semena-nn.ru/catalog/42/112985","Фото")</f>
        <v>Фото</v>
      </c>
      <c r="H1386" s="19">
        <v>6.85</v>
      </c>
      <c r="I1386" s="27"/>
      <c r="J1386" s="13">
        <f>H1386*I1386</f>
        <v>0</v>
      </c>
    </row>
    <row r="1387" spans="1:10" ht="12" customHeight="1">
      <c r="A1387" s="13" t="s">
        <v>7331</v>
      </c>
      <c r="B1387" s="13" t="s">
        <v>7332</v>
      </c>
      <c r="C1387" s="13" t="s">
        <v>431</v>
      </c>
      <c r="D1387" s="13" t="s">
        <v>7148</v>
      </c>
      <c r="E1387" s="13" t="s">
        <v>93</v>
      </c>
      <c r="F1387" s="13" t="s">
        <v>7333</v>
      </c>
      <c r="G1387" s="20" t="str">
        <f>HYPERLINK("http://www.semena-nn.ru/catalog/43/1314256","Фото")</f>
        <v>Фото</v>
      </c>
      <c r="H1387" s="18">
        <v>70.599999999999994</v>
      </c>
      <c r="I1387" s="27"/>
      <c r="J1387" s="13">
        <f>H1387*I1387</f>
        <v>0</v>
      </c>
    </row>
    <row r="1388" spans="1:10" ht="12" customHeight="1">
      <c r="A1388" s="13" t="s">
        <v>1592</v>
      </c>
      <c r="B1388" s="13" t="s">
        <v>1593</v>
      </c>
      <c r="C1388" s="13" t="s">
        <v>431</v>
      </c>
      <c r="D1388" s="13" t="s">
        <v>697</v>
      </c>
      <c r="E1388" s="13" t="s">
        <v>93</v>
      </c>
      <c r="F1388" s="13" t="s">
        <v>1594</v>
      </c>
      <c r="G1388" s="20" t="str">
        <f>HYPERLINK("http://www.semena-nn.ru/catalog/43/1303574","Фото")</f>
        <v>Фото</v>
      </c>
      <c r="H1388" s="18">
        <v>20.9</v>
      </c>
      <c r="I1388" s="27"/>
      <c r="J1388" s="13">
        <f>H1388*I1388</f>
        <v>0</v>
      </c>
    </row>
    <row r="1389" spans="1:10" ht="12" customHeight="1">
      <c r="A1389" s="13" t="s">
        <v>1595</v>
      </c>
      <c r="B1389" s="13" t="s">
        <v>1596</v>
      </c>
      <c r="C1389" s="13" t="s">
        <v>431</v>
      </c>
      <c r="D1389" s="13" t="s">
        <v>697</v>
      </c>
      <c r="E1389" s="13" t="s">
        <v>93</v>
      </c>
      <c r="F1389" s="13" t="s">
        <v>1597</v>
      </c>
      <c r="G1389" s="20" t="str">
        <f>HYPERLINK("http://semena-nn.ru/catalog/43/1299534","Фото")</f>
        <v>Фото</v>
      </c>
      <c r="H1389" s="19">
        <v>26.99</v>
      </c>
      <c r="I1389" s="27"/>
      <c r="J1389" s="13">
        <f>H1389*I1389</f>
        <v>0</v>
      </c>
    </row>
    <row r="1390" spans="1:10" ht="12" customHeight="1">
      <c r="A1390" s="13" t="s">
        <v>1598</v>
      </c>
      <c r="B1390" s="13" t="s">
        <v>1599</v>
      </c>
      <c r="C1390" s="13" t="s">
        <v>431</v>
      </c>
      <c r="D1390" s="13" t="s">
        <v>697</v>
      </c>
      <c r="E1390" s="13" t="s">
        <v>93</v>
      </c>
      <c r="F1390" s="13" t="s">
        <v>1600</v>
      </c>
      <c r="G1390" s="20" t="str">
        <f>HYPERLINK("http://semena-nn.ru/catalog/43/91953","Фото")</f>
        <v>Фото</v>
      </c>
      <c r="H1390" s="18">
        <v>19.2</v>
      </c>
      <c r="I1390" s="27"/>
      <c r="J1390" s="13">
        <f>H1390*I1390</f>
        <v>0</v>
      </c>
    </row>
    <row r="1391" spans="1:10" ht="12" customHeight="1">
      <c r="A1391" s="13" t="s">
        <v>2974</v>
      </c>
      <c r="B1391" s="13" t="s">
        <v>2975</v>
      </c>
      <c r="C1391" s="13" t="s">
        <v>431</v>
      </c>
      <c r="D1391" s="13" t="s">
        <v>697</v>
      </c>
      <c r="E1391" s="13" t="s">
        <v>2636</v>
      </c>
      <c r="F1391" s="13" t="s">
        <v>2976</v>
      </c>
      <c r="G1391" s="20" t="str">
        <f>HYPERLINK("http://semena-nn.ru/catalog/43/3115","Фото")</f>
        <v>Фото</v>
      </c>
      <c r="H1391" s="19">
        <v>10.55</v>
      </c>
      <c r="I1391" s="27"/>
      <c r="J1391" s="13">
        <f>H1391*I1391</f>
        <v>0</v>
      </c>
    </row>
    <row r="1392" spans="1:10" ht="12" customHeight="1">
      <c r="A1392" s="13" t="s">
        <v>3368</v>
      </c>
      <c r="B1392" s="13" t="s">
        <v>3369</v>
      </c>
      <c r="C1392" s="13" t="s">
        <v>431</v>
      </c>
      <c r="D1392" s="13" t="s">
        <v>697</v>
      </c>
      <c r="E1392" s="13" t="s">
        <v>3064</v>
      </c>
      <c r="F1392" s="13" t="s">
        <v>3370</v>
      </c>
      <c r="G1392" s="20" t="str">
        <f>HYPERLINK("http://www.semena-nn.ru/catalog/43/1287485","Фото")</f>
        <v>Фото</v>
      </c>
      <c r="H1392" s="19">
        <v>12.65</v>
      </c>
      <c r="I1392" s="27"/>
      <c r="J1392" s="13">
        <f>H1392*I1392</f>
        <v>0</v>
      </c>
    </row>
    <row r="1393" spans="1:10" ht="12" customHeight="1">
      <c r="A1393" s="13" t="s">
        <v>2977</v>
      </c>
      <c r="B1393" s="13" t="s">
        <v>2978</v>
      </c>
      <c r="C1393" s="13" t="s">
        <v>431</v>
      </c>
      <c r="D1393" s="13" t="s">
        <v>697</v>
      </c>
      <c r="E1393" s="13" t="s">
        <v>2636</v>
      </c>
      <c r="F1393" s="13" t="s">
        <v>2979</v>
      </c>
      <c r="G1393" s="20" t="str">
        <f>HYPERLINK("http://www.semena-nn.ru/catalog/43/99408","Фото")</f>
        <v>Фото</v>
      </c>
      <c r="H1393" s="19">
        <v>10.95</v>
      </c>
      <c r="I1393" s="27"/>
      <c r="J1393" s="13">
        <f>H1393*I1393</f>
        <v>0</v>
      </c>
    </row>
    <row r="1394" spans="1:10" ht="12" customHeight="1">
      <c r="A1394" s="13" t="s">
        <v>3371</v>
      </c>
      <c r="B1394" s="13" t="s">
        <v>3372</v>
      </c>
      <c r="C1394" s="13" t="s">
        <v>431</v>
      </c>
      <c r="D1394" s="13" t="s">
        <v>697</v>
      </c>
      <c r="E1394" s="13" t="s">
        <v>3064</v>
      </c>
      <c r="F1394" s="13" t="s">
        <v>3373</v>
      </c>
      <c r="G1394" s="20" t="str">
        <f>HYPERLINK("https://semena-nn.ru/catalog/43/1287486","Фото")</f>
        <v>Фото</v>
      </c>
      <c r="H1394" s="19">
        <v>15.15</v>
      </c>
      <c r="I1394" s="27"/>
      <c r="J1394" s="13">
        <f>H1394*I1394</f>
        <v>0</v>
      </c>
    </row>
    <row r="1395" spans="1:10" ht="12" customHeight="1">
      <c r="A1395" s="13" t="s">
        <v>1601</v>
      </c>
      <c r="B1395" s="13" t="s">
        <v>1602</v>
      </c>
      <c r="C1395" s="13" t="s">
        <v>431</v>
      </c>
      <c r="D1395" s="13" t="s">
        <v>697</v>
      </c>
      <c r="E1395" s="13" t="s">
        <v>93</v>
      </c>
      <c r="F1395" s="13" t="s">
        <v>1603</v>
      </c>
      <c r="G1395" s="20" t="str">
        <f>HYPERLINK("http://www.semena-nn.ru/catalog/43/1307371","Фото")</f>
        <v>Фото</v>
      </c>
      <c r="H1395" s="15">
        <v>23</v>
      </c>
      <c r="I1395" s="27"/>
      <c r="J1395" s="13">
        <f>H1395*I1395</f>
        <v>0</v>
      </c>
    </row>
    <row r="1396" spans="1:10" ht="12" customHeight="1">
      <c r="A1396" s="13" t="s">
        <v>1604</v>
      </c>
      <c r="B1396" s="13" t="s">
        <v>1605</v>
      </c>
      <c r="C1396" s="13" t="s">
        <v>431</v>
      </c>
      <c r="D1396" s="13" t="s">
        <v>697</v>
      </c>
      <c r="E1396" s="13" t="s">
        <v>93</v>
      </c>
      <c r="F1396" s="13" t="s">
        <v>1606</v>
      </c>
      <c r="G1396" s="20" t="str">
        <f>HYPERLINK("http://www.semena-nn.ru/catalog/43/1124531","Фото")</f>
        <v>Фото</v>
      </c>
      <c r="H1396" s="15">
        <v>23</v>
      </c>
      <c r="I1396" s="27"/>
      <c r="J1396" s="13">
        <f>H1396*I1396</f>
        <v>0</v>
      </c>
    </row>
    <row r="1397" spans="1:10" ht="12" customHeight="1">
      <c r="A1397" s="13" t="s">
        <v>1607</v>
      </c>
      <c r="B1397" s="13" t="s">
        <v>1608</v>
      </c>
      <c r="C1397" s="13" t="s">
        <v>431</v>
      </c>
      <c r="D1397" s="13" t="s">
        <v>697</v>
      </c>
      <c r="E1397" s="13" t="s">
        <v>93</v>
      </c>
      <c r="F1397" s="13" t="s">
        <v>1609</v>
      </c>
      <c r="G1397" s="20" t="str">
        <f>HYPERLINK("https://semena-nn.ru/catalog/43/1121527","Фото")</f>
        <v>Фото</v>
      </c>
      <c r="H1397" s="18">
        <v>20.5</v>
      </c>
      <c r="I1397" s="27"/>
      <c r="J1397" s="13">
        <f>H1397*I1397</f>
        <v>0</v>
      </c>
    </row>
    <row r="1398" spans="1:10" ht="12" customHeight="1">
      <c r="A1398" s="13" t="s">
        <v>3374</v>
      </c>
      <c r="B1398" s="13" t="s">
        <v>3375</v>
      </c>
      <c r="C1398" s="13" t="s">
        <v>431</v>
      </c>
      <c r="D1398" s="13" t="s">
        <v>697</v>
      </c>
      <c r="E1398" s="13" t="s">
        <v>3064</v>
      </c>
      <c r="F1398" s="13" t="s">
        <v>3376</v>
      </c>
      <c r="G1398" s="20" t="str">
        <f>HYPERLINK("https://semena-nn.ru/catalog/43/1287487","Фото")</f>
        <v>Фото</v>
      </c>
      <c r="H1398" s="19">
        <v>12.65</v>
      </c>
      <c r="I1398" s="27"/>
      <c r="J1398" s="13">
        <f>H1398*I1398</f>
        <v>0</v>
      </c>
    </row>
    <row r="1399" spans="1:10" ht="12" customHeight="1">
      <c r="A1399" s="13" t="s">
        <v>6536</v>
      </c>
      <c r="B1399" s="13" t="s">
        <v>6537</v>
      </c>
      <c r="C1399" s="13" t="s">
        <v>431</v>
      </c>
      <c r="D1399" s="13" t="s">
        <v>87</v>
      </c>
      <c r="E1399" s="13" t="s">
        <v>93</v>
      </c>
      <c r="F1399" s="13" t="s">
        <v>6538</v>
      </c>
      <c r="G1399" s="20" t="str">
        <f>HYPERLINK("http://semena-nn.ru/catalog/43/1303193","Фото")</f>
        <v>Фото</v>
      </c>
      <c r="H1399" s="18">
        <v>50.4</v>
      </c>
      <c r="I1399" s="27"/>
      <c r="J1399" s="13">
        <f>H1399*I1399</f>
        <v>0</v>
      </c>
    </row>
    <row r="1400" spans="1:10" ht="12" customHeight="1">
      <c r="A1400" s="13" t="s">
        <v>8096</v>
      </c>
      <c r="B1400" s="13" t="s">
        <v>8097</v>
      </c>
      <c r="C1400" s="13" t="s">
        <v>431</v>
      </c>
      <c r="D1400" s="13" t="s">
        <v>7728</v>
      </c>
      <c r="E1400" s="13" t="s">
        <v>93</v>
      </c>
      <c r="F1400" s="13" t="s">
        <v>8098</v>
      </c>
      <c r="G1400" s="20" t="str">
        <f>HYPERLINK("https://semena-nn.ru/catalog/43/1286912","Фото")</f>
        <v>Фото</v>
      </c>
      <c r="H1400" s="18">
        <v>22.6</v>
      </c>
      <c r="I1400" s="27"/>
      <c r="J1400" s="13">
        <f>H1400*I1400</f>
        <v>0</v>
      </c>
    </row>
    <row r="1401" spans="1:10" ht="12" customHeight="1">
      <c r="A1401" s="13" t="s">
        <v>2980</v>
      </c>
      <c r="B1401" s="13" t="s">
        <v>2981</v>
      </c>
      <c r="C1401" s="13" t="s">
        <v>431</v>
      </c>
      <c r="D1401" s="13" t="s">
        <v>697</v>
      </c>
      <c r="E1401" s="13" t="s">
        <v>2636</v>
      </c>
      <c r="F1401" s="13" t="s">
        <v>2982</v>
      </c>
      <c r="G1401" s="20" t="str">
        <f>HYPERLINK("http://www.semena-nn.ru/catalog/43/3116","Фото")</f>
        <v>Фото</v>
      </c>
      <c r="H1401" s="19">
        <v>10.050000000000001</v>
      </c>
      <c r="I1401" s="27"/>
      <c r="J1401" s="13">
        <f>H1401*I1401</f>
        <v>0</v>
      </c>
    </row>
    <row r="1402" spans="1:10" ht="12" customHeight="1">
      <c r="A1402" s="13" t="s">
        <v>3377</v>
      </c>
      <c r="B1402" s="13" t="s">
        <v>3378</v>
      </c>
      <c r="C1402" s="13" t="s">
        <v>431</v>
      </c>
      <c r="D1402" s="13" t="s">
        <v>697</v>
      </c>
      <c r="E1402" s="13" t="s">
        <v>3064</v>
      </c>
      <c r="F1402" s="13" t="s">
        <v>3379</v>
      </c>
      <c r="G1402" s="20" t="str">
        <f>HYPERLINK("https://semena-nn.ru/catalog/43/1288977","Фото")</f>
        <v>Фото</v>
      </c>
      <c r="H1402" s="19">
        <v>12.65</v>
      </c>
      <c r="I1402" s="27"/>
      <c r="J1402" s="13">
        <f>H1402*I1402</f>
        <v>0</v>
      </c>
    </row>
    <row r="1403" spans="1:10" ht="12" customHeight="1">
      <c r="A1403" s="13" t="s">
        <v>8099</v>
      </c>
      <c r="B1403" s="13" t="s">
        <v>8100</v>
      </c>
      <c r="C1403" s="13" t="s">
        <v>431</v>
      </c>
      <c r="D1403" s="13" t="s">
        <v>7728</v>
      </c>
      <c r="E1403" s="13" t="s">
        <v>93</v>
      </c>
      <c r="F1403" s="13" t="s">
        <v>8101</v>
      </c>
      <c r="G1403" s="20" t="str">
        <f>HYPERLINK("https://semena-nn.ru/catalog/43/1282302","Фото")</f>
        <v>Фото</v>
      </c>
      <c r="H1403" s="18">
        <v>22.2</v>
      </c>
      <c r="I1403" s="27"/>
      <c r="J1403" s="13">
        <f>H1403*I1403</f>
        <v>0</v>
      </c>
    </row>
    <row r="1404" spans="1:10" ht="12" customHeight="1">
      <c r="A1404" s="13" t="s">
        <v>7334</v>
      </c>
      <c r="B1404" s="13" t="s">
        <v>7335</v>
      </c>
      <c r="C1404" s="13" t="s">
        <v>431</v>
      </c>
      <c r="D1404" s="13" t="s">
        <v>7148</v>
      </c>
      <c r="E1404" s="13" t="s">
        <v>93</v>
      </c>
      <c r="F1404" s="13" t="s">
        <v>7336</v>
      </c>
      <c r="G1404" s="20" t="str">
        <f>HYPERLINK("https://semena-nn.ru/catalog/43/1314259","Фото")</f>
        <v>Фото</v>
      </c>
      <c r="H1404" s="18">
        <v>65.5</v>
      </c>
      <c r="I1404" s="27"/>
      <c r="J1404" s="13">
        <f>H1404*I1404</f>
        <v>0</v>
      </c>
    </row>
    <row r="1405" spans="1:10" ht="12" customHeight="1">
      <c r="A1405" s="13" t="s">
        <v>1610</v>
      </c>
      <c r="B1405" s="13" t="s">
        <v>1611</v>
      </c>
      <c r="C1405" s="13" t="s">
        <v>431</v>
      </c>
      <c r="D1405" s="13" t="s">
        <v>697</v>
      </c>
      <c r="E1405" s="13" t="s">
        <v>93</v>
      </c>
      <c r="F1405" s="13" t="s">
        <v>1612</v>
      </c>
      <c r="G1405" s="20" t="str">
        <f>HYPERLINK("http://www.semena-nn.ru/catalog/43/92151","Фото")</f>
        <v>Фото</v>
      </c>
      <c r="H1405" s="19">
        <v>20.95</v>
      </c>
      <c r="I1405" s="27"/>
      <c r="J1405" s="13">
        <f>H1405*I1405</f>
        <v>0</v>
      </c>
    </row>
    <row r="1406" spans="1:10" ht="12" customHeight="1">
      <c r="A1406" s="13" t="s">
        <v>2983</v>
      </c>
      <c r="B1406" s="13" t="s">
        <v>2984</v>
      </c>
      <c r="C1406" s="13" t="s">
        <v>431</v>
      </c>
      <c r="D1406" s="13" t="s">
        <v>697</v>
      </c>
      <c r="E1406" s="13" t="s">
        <v>2636</v>
      </c>
      <c r="F1406" s="13" t="s">
        <v>2985</v>
      </c>
      <c r="G1406" s="20" t="str">
        <f>HYPERLINK("http://semena-nn.ru/catalog/43/3062","Фото")</f>
        <v>Фото</v>
      </c>
      <c r="H1406" s="18">
        <v>10.5</v>
      </c>
      <c r="I1406" s="27"/>
      <c r="J1406" s="13">
        <f>H1406*I1406</f>
        <v>0</v>
      </c>
    </row>
    <row r="1407" spans="1:10" ht="12" customHeight="1">
      <c r="A1407" s="13" t="s">
        <v>3380</v>
      </c>
      <c r="B1407" s="13" t="s">
        <v>3381</v>
      </c>
      <c r="C1407" s="13" t="s">
        <v>431</v>
      </c>
      <c r="D1407" s="13" t="s">
        <v>697</v>
      </c>
      <c r="E1407" s="13" t="s">
        <v>3064</v>
      </c>
      <c r="F1407" s="13" t="s">
        <v>3382</v>
      </c>
      <c r="G1407" s="20" t="str">
        <f>HYPERLINK("http://semena-nn.ru/catalog/43/1288664","Фото")</f>
        <v>Фото</v>
      </c>
      <c r="H1407" s="19">
        <v>12.65</v>
      </c>
      <c r="I1407" s="27"/>
      <c r="J1407" s="13">
        <f>H1407*I1407</f>
        <v>0</v>
      </c>
    </row>
    <row r="1408" spans="1:10" ht="12" customHeight="1">
      <c r="A1408" s="13" t="s">
        <v>4094</v>
      </c>
      <c r="B1408" s="13" t="s">
        <v>4095</v>
      </c>
      <c r="C1408" s="13" t="s">
        <v>431</v>
      </c>
      <c r="D1408" s="13" t="s">
        <v>3475</v>
      </c>
      <c r="E1408" s="13" t="s">
        <v>93</v>
      </c>
      <c r="F1408" s="13" t="s">
        <v>4096</v>
      </c>
      <c r="G1408" s="20" t="str">
        <f>HYPERLINK("http://semena-nn.ru/catalog/43/1307692","Фото")</f>
        <v>Фото</v>
      </c>
      <c r="H1408" s="18">
        <v>35.299999999999997</v>
      </c>
      <c r="I1408" s="27"/>
      <c r="J1408" s="13">
        <f>H1408*I1408</f>
        <v>0</v>
      </c>
    </row>
    <row r="1409" spans="1:10" ht="12" customHeight="1">
      <c r="A1409" s="13" t="s">
        <v>4097</v>
      </c>
      <c r="B1409" s="13" t="s">
        <v>4098</v>
      </c>
      <c r="C1409" s="13" t="s">
        <v>431</v>
      </c>
      <c r="D1409" s="13" t="s">
        <v>3475</v>
      </c>
      <c r="E1409" s="13" t="s">
        <v>93</v>
      </c>
      <c r="F1409" s="13" t="s">
        <v>4099</v>
      </c>
      <c r="G1409" s="20" t="str">
        <f>HYPERLINK("http://www.semena-nn.ru/catalog/43/1307693","Фото")</f>
        <v>Фото</v>
      </c>
      <c r="H1409" s="18">
        <v>35.299999999999997</v>
      </c>
      <c r="I1409" s="27"/>
      <c r="J1409" s="13">
        <f>H1409*I1409</f>
        <v>0</v>
      </c>
    </row>
    <row r="1410" spans="1:10" ht="12" customHeight="1">
      <c r="A1410" s="13" t="s">
        <v>1613</v>
      </c>
      <c r="B1410" s="13" t="s">
        <v>1614</v>
      </c>
      <c r="C1410" s="13" t="s">
        <v>431</v>
      </c>
      <c r="D1410" s="13" t="s">
        <v>697</v>
      </c>
      <c r="E1410" s="13" t="s">
        <v>93</v>
      </c>
      <c r="F1410" s="13" t="s">
        <v>1615</v>
      </c>
      <c r="G1410" s="20" t="str">
        <f>HYPERLINK("http://semena-nn.ru/catalog/43/1309941","Фото")</f>
        <v>Фото</v>
      </c>
      <c r="H1410" s="18">
        <v>21.9</v>
      </c>
      <c r="I1410" s="27"/>
      <c r="J1410" s="13">
        <f>H1410*I1410</f>
        <v>0</v>
      </c>
    </row>
    <row r="1411" spans="1:10" ht="12" customHeight="1">
      <c r="A1411" s="13" t="s">
        <v>4100</v>
      </c>
      <c r="B1411" s="13" t="s">
        <v>4101</v>
      </c>
      <c r="C1411" s="13" t="s">
        <v>431</v>
      </c>
      <c r="D1411" s="13" t="s">
        <v>3475</v>
      </c>
      <c r="E1411" s="13" t="s">
        <v>93</v>
      </c>
      <c r="F1411" s="13" t="s">
        <v>4102</v>
      </c>
      <c r="G1411" s="20" t="str">
        <f>HYPERLINK("http://semena-nn.ru/catalog/43/1307694","Фото")</f>
        <v>Фото</v>
      </c>
      <c r="H1411" s="18">
        <v>35.299999999999997</v>
      </c>
      <c r="I1411" s="27"/>
      <c r="J1411" s="13">
        <f>H1411*I1411</f>
        <v>0</v>
      </c>
    </row>
    <row r="1412" spans="1:10" ht="12" customHeight="1">
      <c r="A1412" s="13" t="s">
        <v>1616</v>
      </c>
      <c r="B1412" s="13" t="s">
        <v>1617</v>
      </c>
      <c r="C1412" s="13" t="s">
        <v>431</v>
      </c>
      <c r="D1412" s="13" t="s">
        <v>697</v>
      </c>
      <c r="E1412" s="13" t="s">
        <v>93</v>
      </c>
      <c r="F1412" s="13" t="s">
        <v>1618</v>
      </c>
      <c r="G1412" s="20" t="str">
        <f>HYPERLINK("http://semena-nn.ru/catalog/43/999000006276","Фото")</f>
        <v>Фото</v>
      </c>
      <c r="H1412" s="19">
        <v>23.45</v>
      </c>
      <c r="I1412" s="27"/>
      <c r="J1412" s="13">
        <f>H1412*I1412</f>
        <v>0</v>
      </c>
    </row>
    <row r="1413" spans="1:10" ht="12" customHeight="1">
      <c r="A1413" s="13" t="s">
        <v>2986</v>
      </c>
      <c r="B1413" s="13" t="s">
        <v>2987</v>
      </c>
      <c r="C1413" s="13" t="s">
        <v>431</v>
      </c>
      <c r="D1413" s="13" t="s">
        <v>697</v>
      </c>
      <c r="E1413" s="13" t="s">
        <v>2636</v>
      </c>
      <c r="F1413" s="13" t="s">
        <v>2988</v>
      </c>
      <c r="G1413" s="20" t="str">
        <f>HYPERLINK("http://semena-nn.ru/catalog/43/92854","Фото")</f>
        <v>Фото</v>
      </c>
      <c r="H1413" s="19">
        <v>10.85</v>
      </c>
      <c r="I1413" s="27"/>
      <c r="J1413" s="13">
        <f>H1413*I1413</f>
        <v>0</v>
      </c>
    </row>
    <row r="1414" spans="1:10" ht="12" customHeight="1">
      <c r="A1414" s="13" t="s">
        <v>2989</v>
      </c>
      <c r="B1414" s="13" t="s">
        <v>2990</v>
      </c>
      <c r="C1414" s="13" t="s">
        <v>431</v>
      </c>
      <c r="D1414" s="13" t="s">
        <v>697</v>
      </c>
      <c r="E1414" s="13" t="s">
        <v>2636</v>
      </c>
      <c r="F1414" s="13" t="s">
        <v>2991</v>
      </c>
      <c r="G1414" s="20" t="str">
        <f>HYPERLINK("http://semena-nn.ru/catalog/43/114022","Фото")</f>
        <v>Фото</v>
      </c>
      <c r="H1414" s="19">
        <v>13.55</v>
      </c>
      <c r="I1414" s="27"/>
      <c r="J1414" s="13">
        <f>H1414*I1414</f>
        <v>0</v>
      </c>
    </row>
    <row r="1415" spans="1:10" ht="12" customHeight="1">
      <c r="A1415" s="13" t="s">
        <v>1619</v>
      </c>
      <c r="B1415" s="13" t="s">
        <v>1620</v>
      </c>
      <c r="C1415" s="13" t="s">
        <v>431</v>
      </c>
      <c r="D1415" s="13" t="s">
        <v>697</v>
      </c>
      <c r="E1415" s="13" t="s">
        <v>93</v>
      </c>
      <c r="F1415" s="13" t="s">
        <v>1621</v>
      </c>
      <c r="G1415" s="20" t="str">
        <f>HYPERLINK("https://semena-nn.ru/catalog/43/1307370","Фото")</f>
        <v>Фото</v>
      </c>
      <c r="H1415" s="18">
        <v>22.1</v>
      </c>
      <c r="I1415" s="27"/>
      <c r="J1415" s="13">
        <f>H1415*I1415</f>
        <v>0</v>
      </c>
    </row>
    <row r="1416" spans="1:10" ht="12" customHeight="1">
      <c r="A1416" s="13" t="s">
        <v>2992</v>
      </c>
      <c r="B1416" s="13" t="s">
        <v>2993</v>
      </c>
      <c r="C1416" s="13" t="s">
        <v>431</v>
      </c>
      <c r="D1416" s="13" t="s">
        <v>697</v>
      </c>
      <c r="E1416" s="13" t="s">
        <v>2636</v>
      </c>
      <c r="F1416" s="13" t="s">
        <v>2994</v>
      </c>
      <c r="G1416" s="20" t="str">
        <f>HYPERLINK("http://semena-nn.ru/catalog/43/80419","Фото")</f>
        <v>Фото</v>
      </c>
      <c r="H1416" s="19">
        <v>10.050000000000001</v>
      </c>
      <c r="I1416" s="27"/>
      <c r="J1416" s="13">
        <f>H1416*I1416</f>
        <v>0</v>
      </c>
    </row>
    <row r="1417" spans="1:10" ht="12" customHeight="1">
      <c r="A1417" s="13" t="s">
        <v>3383</v>
      </c>
      <c r="B1417" s="13" t="s">
        <v>3384</v>
      </c>
      <c r="C1417" s="13" t="s">
        <v>431</v>
      </c>
      <c r="D1417" s="13" t="s">
        <v>697</v>
      </c>
      <c r="E1417" s="13" t="s">
        <v>3064</v>
      </c>
      <c r="F1417" s="13" t="s">
        <v>3385</v>
      </c>
      <c r="G1417" s="20" t="str">
        <f>HYPERLINK("https://semena-nn.ru/catalog/43/1288665","Фото")</f>
        <v>Фото</v>
      </c>
      <c r="H1417" s="19">
        <v>12.05</v>
      </c>
      <c r="I1417" s="27"/>
      <c r="J1417" s="13">
        <f>H1417*I1417</f>
        <v>0</v>
      </c>
    </row>
    <row r="1418" spans="1:10" ht="12" customHeight="1">
      <c r="A1418" s="13" t="s">
        <v>1622</v>
      </c>
      <c r="B1418" s="13" t="s">
        <v>1623</v>
      </c>
      <c r="C1418" s="13" t="s">
        <v>431</v>
      </c>
      <c r="D1418" s="13" t="s">
        <v>697</v>
      </c>
      <c r="E1418" s="13" t="s">
        <v>93</v>
      </c>
      <c r="F1418" s="13" t="s">
        <v>1624</v>
      </c>
      <c r="G1418" s="20" t="str">
        <f>HYPERLINK("http://semena-nn.ru/catalog/43/999000000577","Фото")</f>
        <v>Фото</v>
      </c>
      <c r="H1418" s="19">
        <v>22.85</v>
      </c>
      <c r="I1418" s="27"/>
      <c r="J1418" s="13">
        <f>H1418*I1418</f>
        <v>0</v>
      </c>
    </row>
    <row r="1419" spans="1:10" ht="12" customHeight="1">
      <c r="A1419" s="13" t="s">
        <v>4103</v>
      </c>
      <c r="B1419" s="13" t="s">
        <v>4104</v>
      </c>
      <c r="C1419" s="13" t="s">
        <v>431</v>
      </c>
      <c r="D1419" s="13" t="s">
        <v>3475</v>
      </c>
      <c r="E1419" s="13" t="s">
        <v>93</v>
      </c>
      <c r="F1419" s="13" t="s">
        <v>4105</v>
      </c>
      <c r="G1419" s="20" t="str">
        <f>HYPERLINK("https://semena-nn.ru/catalog/43/1117508","Фото")</f>
        <v>Фото</v>
      </c>
      <c r="H1419" s="18">
        <v>18.7</v>
      </c>
      <c r="I1419" s="27"/>
      <c r="J1419" s="13">
        <f>H1419*I1419</f>
        <v>0</v>
      </c>
    </row>
    <row r="1420" spans="1:10" ht="12" customHeight="1">
      <c r="A1420" s="13" t="s">
        <v>4106</v>
      </c>
      <c r="B1420" s="13" t="s">
        <v>4107</v>
      </c>
      <c r="C1420" s="13" t="s">
        <v>431</v>
      </c>
      <c r="D1420" s="13" t="s">
        <v>3475</v>
      </c>
      <c r="E1420" s="13" t="s">
        <v>93</v>
      </c>
      <c r="F1420" s="13" t="s">
        <v>4108</v>
      </c>
      <c r="G1420" s="20" t="str">
        <f>HYPERLINK("http://semena-nn.ru/catalog/43/111389","Фото")</f>
        <v>Фото</v>
      </c>
      <c r="H1420" s="18">
        <v>51.8</v>
      </c>
      <c r="I1420" s="27"/>
      <c r="J1420" s="13">
        <f>H1420*I1420</f>
        <v>0</v>
      </c>
    </row>
    <row r="1421" spans="1:10" ht="12" customHeight="1">
      <c r="A1421" s="13" t="s">
        <v>7337</v>
      </c>
      <c r="B1421" s="13" t="s">
        <v>7338</v>
      </c>
      <c r="C1421" s="13" t="s">
        <v>431</v>
      </c>
      <c r="D1421" s="13" t="s">
        <v>7148</v>
      </c>
      <c r="E1421" s="13" t="s">
        <v>93</v>
      </c>
      <c r="F1421" s="13" t="s">
        <v>7339</v>
      </c>
      <c r="G1421" s="20" t="str">
        <f>HYPERLINK("http://www.semena-nn.ru/catalog/43/1314261","Фото")</f>
        <v>Фото</v>
      </c>
      <c r="H1421" s="18">
        <v>75.599999999999994</v>
      </c>
      <c r="I1421" s="27"/>
      <c r="J1421" s="13">
        <f>H1421*I1421</f>
        <v>0</v>
      </c>
    </row>
    <row r="1422" spans="1:10" ht="12" customHeight="1">
      <c r="A1422" s="13" t="s">
        <v>8102</v>
      </c>
      <c r="B1422" s="13" t="s">
        <v>8103</v>
      </c>
      <c r="C1422" s="13" t="s">
        <v>431</v>
      </c>
      <c r="D1422" s="13" t="s">
        <v>7728</v>
      </c>
      <c r="E1422" s="13" t="s">
        <v>93</v>
      </c>
      <c r="F1422" s="13" t="s">
        <v>8104</v>
      </c>
      <c r="G1422" s="20" t="str">
        <f>HYPERLINK("http://www.semena-nn.ru/catalog/43/92716","Фото")</f>
        <v>Фото</v>
      </c>
      <c r="H1422" s="18">
        <v>33.4</v>
      </c>
      <c r="I1422" s="27"/>
      <c r="J1422" s="13">
        <f>H1422*I1422</f>
        <v>0</v>
      </c>
    </row>
    <row r="1423" spans="1:10" ht="12" customHeight="1">
      <c r="A1423" s="13" t="s">
        <v>8105</v>
      </c>
      <c r="B1423" s="13" t="s">
        <v>8106</v>
      </c>
      <c r="C1423" s="13" t="s">
        <v>431</v>
      </c>
      <c r="D1423" s="13" t="s">
        <v>7728</v>
      </c>
      <c r="E1423" s="13" t="s">
        <v>93</v>
      </c>
      <c r="F1423" s="13" t="s">
        <v>8107</v>
      </c>
      <c r="G1423" s="20" t="str">
        <f>HYPERLINK("http://www.semena-nn.ru/catalog/43/1314553","Фото")</f>
        <v>Фото</v>
      </c>
      <c r="H1423" s="15">
        <v>29</v>
      </c>
      <c r="I1423" s="27"/>
      <c r="J1423" s="13">
        <f>H1423*I1423</f>
        <v>0</v>
      </c>
    </row>
    <row r="1424" spans="1:10" ht="12" customHeight="1">
      <c r="A1424" s="13" t="s">
        <v>4109</v>
      </c>
      <c r="B1424" s="13" t="s">
        <v>4110</v>
      </c>
      <c r="C1424" s="13" t="s">
        <v>431</v>
      </c>
      <c r="D1424" s="13" t="s">
        <v>3475</v>
      </c>
      <c r="E1424" s="13" t="s">
        <v>93</v>
      </c>
      <c r="F1424" s="13" t="s">
        <v>4111</v>
      </c>
      <c r="G1424" s="20" t="str">
        <f>HYPERLINK("http://semena-nn.ru/catalog/43/999000004709","Фото")</f>
        <v>Фото</v>
      </c>
      <c r="H1424" s="18">
        <v>35.299999999999997</v>
      </c>
      <c r="I1424" s="27"/>
      <c r="J1424" s="13">
        <f>H1424*I1424</f>
        <v>0</v>
      </c>
    </row>
    <row r="1425" spans="1:10" ht="12" customHeight="1">
      <c r="A1425" s="13" t="s">
        <v>2995</v>
      </c>
      <c r="B1425" s="13" t="s">
        <v>2996</v>
      </c>
      <c r="C1425" s="13" t="s">
        <v>431</v>
      </c>
      <c r="D1425" s="13" t="s">
        <v>697</v>
      </c>
      <c r="E1425" s="13" t="s">
        <v>2636</v>
      </c>
      <c r="F1425" s="13" t="s">
        <v>2997</v>
      </c>
      <c r="G1425" s="20" t="str">
        <f>HYPERLINK("http://semena-nn.ru/catalog/43/110308","Фото")</f>
        <v>Фото</v>
      </c>
      <c r="H1425" s="19">
        <v>10.050000000000001</v>
      </c>
      <c r="I1425" s="27"/>
      <c r="J1425" s="13">
        <f>H1425*I1425</f>
        <v>0</v>
      </c>
    </row>
    <row r="1426" spans="1:10" ht="12" customHeight="1">
      <c r="A1426" s="13" t="s">
        <v>2998</v>
      </c>
      <c r="B1426" s="13" t="s">
        <v>2999</v>
      </c>
      <c r="C1426" s="13" t="s">
        <v>431</v>
      </c>
      <c r="D1426" s="13" t="s">
        <v>697</v>
      </c>
      <c r="E1426" s="13" t="s">
        <v>2636</v>
      </c>
      <c r="F1426" s="13" t="s">
        <v>3000</v>
      </c>
      <c r="G1426" s="20" t="str">
        <f>HYPERLINK("http://semena-nn.ru/catalog/43/1114363","Фото")</f>
        <v>Фото</v>
      </c>
      <c r="H1426" s="19">
        <v>10.55</v>
      </c>
      <c r="I1426" s="27"/>
      <c r="J1426" s="13">
        <f>H1426*I1426</f>
        <v>0</v>
      </c>
    </row>
    <row r="1427" spans="1:10" ht="12" customHeight="1">
      <c r="A1427" s="13" t="s">
        <v>3386</v>
      </c>
      <c r="B1427" s="13" t="s">
        <v>3387</v>
      </c>
      <c r="C1427" s="13" t="s">
        <v>431</v>
      </c>
      <c r="D1427" s="13" t="s">
        <v>697</v>
      </c>
      <c r="E1427" s="13" t="s">
        <v>3064</v>
      </c>
      <c r="F1427" s="13" t="s">
        <v>3388</v>
      </c>
      <c r="G1427" s="20" t="str">
        <f>HYPERLINK("http://semena-nn.ru/catalog/43/1314671","Фото")</f>
        <v>Фото</v>
      </c>
      <c r="H1427" s="18">
        <v>17.5</v>
      </c>
      <c r="I1427" s="27"/>
      <c r="J1427" s="13">
        <f>H1427*I1427</f>
        <v>0</v>
      </c>
    </row>
    <row r="1428" spans="1:10" ht="12" customHeight="1">
      <c r="A1428" s="13" t="s">
        <v>1625</v>
      </c>
      <c r="B1428" s="13" t="s">
        <v>1626</v>
      </c>
      <c r="C1428" s="13" t="s">
        <v>431</v>
      </c>
      <c r="D1428" s="13" t="s">
        <v>697</v>
      </c>
      <c r="E1428" s="13" t="s">
        <v>93</v>
      </c>
      <c r="F1428" s="13" t="s">
        <v>1627</v>
      </c>
      <c r="G1428" s="20" t="str">
        <f>HYPERLINK("http://semena-nn.ru/catalog/43/999000004132","Фото")</f>
        <v>Фото</v>
      </c>
      <c r="H1428" s="18">
        <v>21.9</v>
      </c>
      <c r="I1428" s="27"/>
      <c r="J1428" s="13">
        <f>H1428*I1428</f>
        <v>0</v>
      </c>
    </row>
    <row r="1429" spans="1:10" ht="12" customHeight="1">
      <c r="A1429" s="13" t="s">
        <v>3001</v>
      </c>
      <c r="B1429" s="13" t="s">
        <v>3002</v>
      </c>
      <c r="C1429" s="13" t="s">
        <v>431</v>
      </c>
      <c r="D1429" s="13" t="s">
        <v>697</v>
      </c>
      <c r="E1429" s="13" t="s">
        <v>2636</v>
      </c>
      <c r="F1429" s="13" t="s">
        <v>3003</v>
      </c>
      <c r="G1429" s="20" t="str">
        <f>HYPERLINK("http://semena-nn.ru/catalog/43/999000001511","Фото")</f>
        <v>Фото</v>
      </c>
      <c r="H1429" s="19">
        <v>9.9499999999999993</v>
      </c>
      <c r="I1429" s="27"/>
      <c r="J1429" s="13">
        <f>H1429*I1429</f>
        <v>0</v>
      </c>
    </row>
    <row r="1430" spans="1:10" ht="12" customHeight="1">
      <c r="A1430" s="13" t="s">
        <v>3004</v>
      </c>
      <c r="B1430" s="13" t="s">
        <v>3005</v>
      </c>
      <c r="C1430" s="13" t="s">
        <v>431</v>
      </c>
      <c r="D1430" s="13" t="s">
        <v>697</v>
      </c>
      <c r="E1430" s="13" t="s">
        <v>2636</v>
      </c>
      <c r="F1430" s="13" t="s">
        <v>3006</v>
      </c>
      <c r="G1430" s="20" t="str">
        <f>HYPERLINK("http://semena-nn.ru/catalog/43/1284627","Фото")</f>
        <v>Фото</v>
      </c>
      <c r="H1430" s="19">
        <v>9.9499999999999993</v>
      </c>
      <c r="I1430" s="27"/>
      <c r="J1430" s="13">
        <f>H1430*I1430</f>
        <v>0</v>
      </c>
    </row>
    <row r="1431" spans="1:10" ht="12" customHeight="1">
      <c r="A1431" s="13" t="s">
        <v>3389</v>
      </c>
      <c r="B1431" s="13" t="s">
        <v>3390</v>
      </c>
      <c r="C1431" s="13" t="s">
        <v>431</v>
      </c>
      <c r="D1431" s="13" t="s">
        <v>697</v>
      </c>
      <c r="E1431" s="13" t="s">
        <v>3064</v>
      </c>
      <c r="F1431" s="13" t="s">
        <v>3391</v>
      </c>
      <c r="G1431" s="20" t="str">
        <f>HYPERLINK("http://semena-nn.ru/catalog/43/1309176","Фото")</f>
        <v>Фото</v>
      </c>
      <c r="H1431" s="19">
        <v>12.05</v>
      </c>
      <c r="I1431" s="27"/>
      <c r="J1431" s="13">
        <f>H1431*I1431</f>
        <v>0</v>
      </c>
    </row>
    <row r="1432" spans="1:10" ht="12" customHeight="1">
      <c r="A1432" s="13" t="s">
        <v>1628</v>
      </c>
      <c r="B1432" s="13" t="s">
        <v>1629</v>
      </c>
      <c r="C1432" s="13" t="s">
        <v>431</v>
      </c>
      <c r="D1432" s="13" t="s">
        <v>697</v>
      </c>
      <c r="E1432" s="13" t="s">
        <v>93</v>
      </c>
      <c r="F1432" s="13" t="s">
        <v>1630</v>
      </c>
      <c r="G1432" s="20" t="str">
        <f>HYPERLINK("http://semena-nn.ru/catalog/43/999000005807","Фото")</f>
        <v>Фото</v>
      </c>
      <c r="H1432" s="18">
        <v>27.8</v>
      </c>
      <c r="I1432" s="27"/>
      <c r="J1432" s="13">
        <f>H1432*I1432</f>
        <v>0</v>
      </c>
    </row>
    <row r="1433" spans="1:10" ht="12" customHeight="1">
      <c r="A1433" s="13" t="s">
        <v>3007</v>
      </c>
      <c r="B1433" s="13" t="s">
        <v>3008</v>
      </c>
      <c r="C1433" s="13" t="s">
        <v>431</v>
      </c>
      <c r="D1433" s="13" t="s">
        <v>697</v>
      </c>
      <c r="E1433" s="13" t="s">
        <v>2636</v>
      </c>
      <c r="F1433" s="13" t="s">
        <v>3009</v>
      </c>
      <c r="G1433" s="20" t="str">
        <f>HYPERLINK("https://semena-nn.ru/catalog/43/93345","Фото")</f>
        <v>Фото</v>
      </c>
      <c r="H1433" s="18">
        <v>11.5</v>
      </c>
      <c r="I1433" s="27"/>
      <c r="J1433" s="13">
        <f>H1433*I1433</f>
        <v>0</v>
      </c>
    </row>
    <row r="1434" spans="1:10" ht="12" customHeight="1">
      <c r="A1434" s="13" t="s">
        <v>3392</v>
      </c>
      <c r="B1434" s="13" t="s">
        <v>3393</v>
      </c>
      <c r="C1434" s="13" t="s">
        <v>431</v>
      </c>
      <c r="D1434" s="13" t="s">
        <v>697</v>
      </c>
      <c r="E1434" s="13" t="s">
        <v>3064</v>
      </c>
      <c r="F1434" s="13" t="s">
        <v>3394</v>
      </c>
      <c r="G1434" s="20" t="str">
        <f>HYPERLINK("https://semena-nn.ru/catalog/43/1288978","Фото")</f>
        <v>Фото</v>
      </c>
      <c r="H1434" s="18">
        <v>15.3</v>
      </c>
      <c r="I1434" s="27"/>
      <c r="J1434" s="13">
        <f>H1434*I1434</f>
        <v>0</v>
      </c>
    </row>
    <row r="1435" spans="1:10" ht="12" customHeight="1">
      <c r="A1435" s="13" t="s">
        <v>5034</v>
      </c>
      <c r="B1435" s="13" t="s">
        <v>5035</v>
      </c>
      <c r="C1435" s="13" t="s">
        <v>431</v>
      </c>
      <c r="D1435" s="13" t="s">
        <v>3475</v>
      </c>
      <c r="E1435" s="13" t="s">
        <v>5009</v>
      </c>
      <c r="F1435" s="13" t="s">
        <v>5036</v>
      </c>
      <c r="G1435" s="20" t="str">
        <f>HYPERLINK("http://www.semena-nn.ru/catalog/43/1311204","Фото")</f>
        <v>Фото</v>
      </c>
      <c r="H1435" s="18">
        <v>16.5</v>
      </c>
      <c r="I1435" s="27"/>
      <c r="J1435" s="13">
        <f>H1435*I1435</f>
        <v>0</v>
      </c>
    </row>
    <row r="1436" spans="1:10" ht="12" customHeight="1">
      <c r="A1436" s="13" t="s">
        <v>4995</v>
      </c>
      <c r="B1436" s="13" t="s">
        <v>4996</v>
      </c>
      <c r="C1436" s="13" t="s">
        <v>431</v>
      </c>
      <c r="D1436" s="13" t="s">
        <v>3475</v>
      </c>
      <c r="E1436" s="13" t="s">
        <v>2636</v>
      </c>
      <c r="F1436" s="13" t="s">
        <v>4997</v>
      </c>
      <c r="G1436" s="20" t="str">
        <f>HYPERLINK("https://semena-nn.ru/catalog/43/999000005037","Фото")</f>
        <v>Фото</v>
      </c>
      <c r="H1436" s="19">
        <v>15.05</v>
      </c>
      <c r="I1436" s="27"/>
      <c r="J1436" s="13">
        <f>H1436*I1436</f>
        <v>0</v>
      </c>
    </row>
    <row r="1437" spans="1:10" ht="12" customHeight="1">
      <c r="A1437" s="13" t="s">
        <v>1631</v>
      </c>
      <c r="B1437" s="13" t="s">
        <v>1632</v>
      </c>
      <c r="C1437" s="13" t="s">
        <v>431</v>
      </c>
      <c r="D1437" s="13" t="s">
        <v>697</v>
      </c>
      <c r="E1437" s="13" t="s">
        <v>93</v>
      </c>
      <c r="F1437" s="13" t="s">
        <v>1633</v>
      </c>
      <c r="G1437" s="20" t="str">
        <f>HYPERLINK("http://semena-nn.ru/catalog/43/101612","Фото")</f>
        <v>Фото</v>
      </c>
      <c r="H1437" s="18">
        <v>28.7</v>
      </c>
      <c r="I1437" s="27"/>
      <c r="J1437" s="13">
        <f>H1437*I1437</f>
        <v>0</v>
      </c>
    </row>
    <row r="1438" spans="1:10" ht="12" customHeight="1">
      <c r="A1438" s="13" t="s">
        <v>3395</v>
      </c>
      <c r="B1438" s="13" t="s">
        <v>3396</v>
      </c>
      <c r="C1438" s="13" t="s">
        <v>431</v>
      </c>
      <c r="D1438" s="13" t="s">
        <v>697</v>
      </c>
      <c r="E1438" s="13" t="s">
        <v>3064</v>
      </c>
      <c r="F1438" s="13" t="s">
        <v>3397</v>
      </c>
      <c r="G1438" s="20" t="str">
        <f>HYPERLINK("https://semena-nn.ru/catalog/43/1298455","Фото")</f>
        <v>Фото</v>
      </c>
      <c r="H1438" s="18">
        <v>21.2</v>
      </c>
      <c r="I1438" s="27"/>
      <c r="J1438" s="13">
        <f>H1438*I1438</f>
        <v>0</v>
      </c>
    </row>
    <row r="1439" spans="1:10" ht="12" customHeight="1">
      <c r="A1439" s="13" t="s">
        <v>8108</v>
      </c>
      <c r="B1439" s="13" t="s">
        <v>8109</v>
      </c>
      <c r="C1439" s="13" t="s">
        <v>431</v>
      </c>
      <c r="D1439" s="13" t="s">
        <v>7728</v>
      </c>
      <c r="E1439" s="13" t="s">
        <v>93</v>
      </c>
      <c r="F1439" s="13" t="s">
        <v>8110</v>
      </c>
      <c r="G1439" s="20" t="str">
        <f>HYPERLINK("https://semena-nn.ru/catalog/43/1119213","Фото")</f>
        <v>Фото</v>
      </c>
      <c r="H1439" s="18">
        <v>21.7</v>
      </c>
      <c r="I1439" s="27"/>
      <c r="J1439" s="13">
        <f>H1439*I1439</f>
        <v>0</v>
      </c>
    </row>
    <row r="1440" spans="1:10" ht="12" customHeight="1">
      <c r="A1440" s="13" t="s">
        <v>8111</v>
      </c>
      <c r="B1440" s="13" t="s">
        <v>8112</v>
      </c>
      <c r="C1440" s="13" t="s">
        <v>431</v>
      </c>
      <c r="D1440" s="13" t="s">
        <v>7728</v>
      </c>
      <c r="E1440" s="13" t="s">
        <v>93</v>
      </c>
      <c r="F1440" s="13" t="s">
        <v>8113</v>
      </c>
      <c r="G1440" s="20" t="str">
        <f>HYPERLINK("https://semena-nn.ru/catalog/43/1291361","Фото")</f>
        <v>Фото</v>
      </c>
      <c r="H1440" s="19">
        <v>21.65</v>
      </c>
      <c r="I1440" s="27"/>
      <c r="J1440" s="13">
        <f>H1440*I1440</f>
        <v>0</v>
      </c>
    </row>
    <row r="1441" spans="1:10" ht="12" customHeight="1">
      <c r="A1441" s="13" t="s">
        <v>7044</v>
      </c>
      <c r="B1441" s="13" t="s">
        <v>7045</v>
      </c>
      <c r="C1441" s="13" t="s">
        <v>431</v>
      </c>
      <c r="D1441" s="13" t="s">
        <v>6994</v>
      </c>
      <c r="E1441" s="13" t="s">
        <v>93</v>
      </c>
      <c r="F1441" s="13" t="s">
        <v>7046</v>
      </c>
      <c r="G1441" s="20" t="str">
        <f>HYPERLINK("https://semena-nn.ru/catalog/43/999000011672","Фото")</f>
        <v>Фото</v>
      </c>
      <c r="H1441" s="18">
        <v>30.4</v>
      </c>
      <c r="I1441" s="27"/>
      <c r="J1441" s="13">
        <f>H1441*I1441</f>
        <v>0</v>
      </c>
    </row>
    <row r="1442" spans="1:10" ht="12" customHeight="1">
      <c r="A1442" s="13" t="s">
        <v>4112</v>
      </c>
      <c r="B1442" s="13" t="s">
        <v>4113</v>
      </c>
      <c r="C1442" s="13" t="s">
        <v>431</v>
      </c>
      <c r="D1442" s="13" t="s">
        <v>3475</v>
      </c>
      <c r="E1442" s="13" t="s">
        <v>93</v>
      </c>
      <c r="F1442" s="13" t="s">
        <v>4114</v>
      </c>
      <c r="G1442" s="20" t="str">
        <f>HYPERLINK("http://semena-nn.ru/catalog/43/1305019","Фото")</f>
        <v>Фото</v>
      </c>
      <c r="H1442" s="18">
        <v>56.2</v>
      </c>
      <c r="I1442" s="27"/>
      <c r="J1442" s="13">
        <f>H1442*I1442</f>
        <v>0</v>
      </c>
    </row>
    <row r="1443" spans="1:10" ht="12" customHeight="1">
      <c r="A1443" s="13" t="s">
        <v>1634</v>
      </c>
      <c r="B1443" s="13" t="s">
        <v>1635</v>
      </c>
      <c r="C1443" s="13" t="s">
        <v>431</v>
      </c>
      <c r="D1443" s="13" t="s">
        <v>697</v>
      </c>
      <c r="E1443" s="13" t="s">
        <v>93</v>
      </c>
      <c r="F1443" s="17" t="s">
        <v>1636</v>
      </c>
      <c r="G1443" s="20" t="str">
        <f>HYPERLINK("http://www.semena-nn.ru/catalog/43/108919","Фото")</f>
        <v>Фото</v>
      </c>
      <c r="H1443" s="18">
        <v>41.3</v>
      </c>
      <c r="I1443" s="27"/>
      <c r="J1443" s="13">
        <f>H1443*I1443</f>
        <v>0</v>
      </c>
    </row>
    <row r="1444" spans="1:10" ht="12" customHeight="1">
      <c r="A1444" s="13" t="s">
        <v>1637</v>
      </c>
      <c r="B1444" s="13" t="s">
        <v>1638</v>
      </c>
      <c r="C1444" s="13" t="s">
        <v>431</v>
      </c>
      <c r="D1444" s="13" t="s">
        <v>697</v>
      </c>
      <c r="E1444" s="13" t="s">
        <v>93</v>
      </c>
      <c r="F1444" s="13" t="s">
        <v>1639</v>
      </c>
      <c r="G1444" s="20" t="str">
        <f>HYPERLINK("http://www.semena-nn.ru/catalog/43/578","Фото")</f>
        <v>Фото</v>
      </c>
      <c r="H1444" s="18">
        <v>19.7</v>
      </c>
      <c r="I1444" s="27"/>
      <c r="J1444" s="13">
        <f>H1444*I1444</f>
        <v>0</v>
      </c>
    </row>
    <row r="1445" spans="1:10" ht="12" customHeight="1">
      <c r="A1445" s="13" t="s">
        <v>4115</v>
      </c>
      <c r="B1445" s="13" t="s">
        <v>4116</v>
      </c>
      <c r="C1445" s="13" t="s">
        <v>431</v>
      </c>
      <c r="D1445" s="13" t="s">
        <v>3475</v>
      </c>
      <c r="E1445" s="13" t="s">
        <v>93</v>
      </c>
      <c r="F1445" s="13" t="s">
        <v>4117</v>
      </c>
      <c r="G1445" s="20" t="str">
        <f>HYPERLINK("http://www.semena-nn.ru/catalog/43/1315640","Фото")</f>
        <v>Фото</v>
      </c>
      <c r="H1445" s="18">
        <v>23.4</v>
      </c>
      <c r="I1445" s="27"/>
      <c r="J1445" s="13">
        <f>H1445*I1445</f>
        <v>0</v>
      </c>
    </row>
    <row r="1446" spans="1:10" ht="12" customHeight="1">
      <c r="A1446" s="13" t="s">
        <v>8890</v>
      </c>
      <c r="B1446" s="13" t="s">
        <v>8891</v>
      </c>
      <c r="C1446" s="13" t="s">
        <v>431</v>
      </c>
      <c r="D1446" s="13" t="s">
        <v>8717</v>
      </c>
      <c r="E1446" s="13" t="s">
        <v>93</v>
      </c>
      <c r="F1446" s="13" t="s">
        <v>8892</v>
      </c>
      <c r="G1446" s="20" t="str">
        <f>HYPERLINK("http://semena-nn.ru/catalog/43/1303757","Фото")</f>
        <v>Фото</v>
      </c>
      <c r="H1446" s="18">
        <v>28.3</v>
      </c>
      <c r="I1446" s="27"/>
      <c r="J1446" s="13">
        <f>H1446*I1446</f>
        <v>0</v>
      </c>
    </row>
    <row r="1447" spans="1:10" ht="12" customHeight="1">
      <c r="A1447" s="13" t="s">
        <v>5037</v>
      </c>
      <c r="B1447" s="13" t="s">
        <v>5038</v>
      </c>
      <c r="C1447" s="13" t="s">
        <v>431</v>
      </c>
      <c r="D1447" s="13" t="s">
        <v>3475</v>
      </c>
      <c r="E1447" s="13" t="s">
        <v>5009</v>
      </c>
      <c r="F1447" s="13" t="s">
        <v>5039</v>
      </c>
      <c r="G1447" s="20" t="str">
        <f>HYPERLINK("https://semena-nn.ru/catalog/43/999000009391","Фото")</f>
        <v>Фото</v>
      </c>
      <c r="H1447" s="19">
        <v>12.61</v>
      </c>
      <c r="I1447" s="27"/>
      <c r="J1447" s="13">
        <f>H1447*I1447</f>
        <v>0</v>
      </c>
    </row>
    <row r="1448" spans="1:10" ht="12" customHeight="1">
      <c r="A1448" s="13" t="s">
        <v>4118</v>
      </c>
      <c r="B1448" s="13" t="s">
        <v>4119</v>
      </c>
      <c r="C1448" s="13" t="s">
        <v>431</v>
      </c>
      <c r="D1448" s="13" t="s">
        <v>3475</v>
      </c>
      <c r="E1448" s="13" t="s">
        <v>93</v>
      </c>
      <c r="F1448" s="13" t="s">
        <v>4120</v>
      </c>
      <c r="G1448" s="20" t="str">
        <f>HYPERLINK("http://semena-nn.ru/catalog/43/999000005692","Фото")</f>
        <v>Фото</v>
      </c>
      <c r="H1448" s="18">
        <v>18.7</v>
      </c>
      <c r="I1448" s="27"/>
      <c r="J1448" s="13">
        <f>H1448*I1448</f>
        <v>0</v>
      </c>
    </row>
    <row r="1449" spans="1:10" ht="12" customHeight="1">
      <c r="A1449" s="13" t="s">
        <v>3010</v>
      </c>
      <c r="B1449" s="13" t="s">
        <v>3011</v>
      </c>
      <c r="C1449" s="13" t="s">
        <v>431</v>
      </c>
      <c r="D1449" s="13" t="s">
        <v>697</v>
      </c>
      <c r="E1449" s="13" t="s">
        <v>2636</v>
      </c>
      <c r="F1449" s="13" t="s">
        <v>3012</v>
      </c>
      <c r="G1449" s="20" t="str">
        <f>HYPERLINK("http://www.semena-nn.ru/catalog/43/1284628","Фото")</f>
        <v>Фото</v>
      </c>
      <c r="H1449" s="19">
        <v>9.9499999999999993</v>
      </c>
      <c r="I1449" s="27"/>
      <c r="J1449" s="13">
        <f>H1449*I1449</f>
        <v>0</v>
      </c>
    </row>
    <row r="1450" spans="1:10" ht="12" customHeight="1">
      <c r="A1450" s="13" t="s">
        <v>6919</v>
      </c>
      <c r="B1450" s="13" t="s">
        <v>6920</v>
      </c>
      <c r="C1450" s="13" t="s">
        <v>431</v>
      </c>
      <c r="D1450" s="13" t="s">
        <v>87</v>
      </c>
      <c r="E1450" s="13" t="s">
        <v>2636</v>
      </c>
      <c r="F1450" s="13" t="s">
        <v>6921</v>
      </c>
      <c r="G1450" s="20" t="str">
        <f>HYPERLINK("http://semena-nn.ru/catalog/43/1290397","Фото")</f>
        <v>Фото</v>
      </c>
      <c r="H1450" s="18">
        <v>10.3</v>
      </c>
      <c r="I1450" s="27"/>
      <c r="J1450" s="13">
        <f>H1450*I1450</f>
        <v>0</v>
      </c>
    </row>
    <row r="1451" spans="1:10" ht="12" customHeight="1">
      <c r="A1451" s="13" t="s">
        <v>1640</v>
      </c>
      <c r="B1451" s="13" t="s">
        <v>1641</v>
      </c>
      <c r="C1451" s="13" t="s">
        <v>431</v>
      </c>
      <c r="D1451" s="13" t="s">
        <v>697</v>
      </c>
      <c r="E1451" s="13" t="s">
        <v>93</v>
      </c>
      <c r="F1451" s="13" t="s">
        <v>1642</v>
      </c>
      <c r="G1451" s="20" t="str">
        <f>HYPERLINK("http://semena-nn.ru/catalog/43/1305045","Фото")</f>
        <v>Фото</v>
      </c>
      <c r="H1451" s="18">
        <v>20.9</v>
      </c>
      <c r="I1451" s="27"/>
      <c r="J1451" s="13">
        <f>H1451*I1451</f>
        <v>0</v>
      </c>
    </row>
    <row r="1452" spans="1:10" ht="12" customHeight="1">
      <c r="A1452" s="13" t="s">
        <v>429</v>
      </c>
      <c r="B1452" s="13" t="s">
        <v>430</v>
      </c>
      <c r="C1452" s="13" t="s">
        <v>431</v>
      </c>
      <c r="D1452" s="13" t="s">
        <v>28</v>
      </c>
      <c r="E1452" s="13" t="s">
        <v>93</v>
      </c>
      <c r="F1452" s="13" t="s">
        <v>432</v>
      </c>
      <c r="G1452" s="20" t="str">
        <f>HYPERLINK("https://semena-nn.ru/catalog/43/999000009728","Фото")</f>
        <v>Фото</v>
      </c>
      <c r="H1452" s="19">
        <v>22.79</v>
      </c>
      <c r="I1452" s="27"/>
      <c r="J1452" s="13">
        <f>H1452*I1452</f>
        <v>0</v>
      </c>
    </row>
    <row r="1453" spans="1:10" ht="12" customHeight="1">
      <c r="A1453" s="13" t="s">
        <v>4121</v>
      </c>
      <c r="B1453" s="13" t="s">
        <v>4122</v>
      </c>
      <c r="C1453" s="13" t="s">
        <v>431</v>
      </c>
      <c r="D1453" s="13" t="s">
        <v>3475</v>
      </c>
      <c r="E1453" s="13" t="s">
        <v>93</v>
      </c>
      <c r="F1453" s="13" t="s">
        <v>4123</v>
      </c>
      <c r="G1453" s="20" t="str">
        <f>HYPERLINK("http://semena-nn.ru/catalog/43/1310020","Фото")</f>
        <v>Фото</v>
      </c>
      <c r="H1453" s="19">
        <v>54.21</v>
      </c>
      <c r="I1453" s="27"/>
      <c r="J1453" s="13">
        <f>H1453*I1453</f>
        <v>0</v>
      </c>
    </row>
    <row r="1454" spans="1:10" ht="12" customHeight="1">
      <c r="A1454" s="13" t="s">
        <v>7340</v>
      </c>
      <c r="B1454" s="13" t="s">
        <v>7341</v>
      </c>
      <c r="C1454" s="13" t="s">
        <v>431</v>
      </c>
      <c r="D1454" s="13" t="s">
        <v>7148</v>
      </c>
      <c r="E1454" s="13" t="s">
        <v>93</v>
      </c>
      <c r="F1454" s="13" t="s">
        <v>7342</v>
      </c>
      <c r="G1454" s="20" t="str">
        <f>HYPERLINK("https://semena-nn.ru/catalog/43/999000005876","Фото")</f>
        <v>Фото</v>
      </c>
      <c r="H1454" s="18">
        <v>75.599999999999994</v>
      </c>
      <c r="I1454" s="27"/>
      <c r="J1454" s="13">
        <f>H1454*I1454</f>
        <v>0</v>
      </c>
    </row>
    <row r="1455" spans="1:10" ht="12" customHeight="1">
      <c r="A1455" s="13" t="s">
        <v>8893</v>
      </c>
      <c r="B1455" s="13" t="s">
        <v>8894</v>
      </c>
      <c r="C1455" s="13" t="s">
        <v>431</v>
      </c>
      <c r="D1455" s="13" t="s">
        <v>8717</v>
      </c>
      <c r="E1455" s="13" t="s">
        <v>93</v>
      </c>
      <c r="F1455" s="13" t="s">
        <v>8895</v>
      </c>
      <c r="G1455" s="20" t="str">
        <f>HYPERLINK("http://semena-nn.ru/catalog/43/1311816","Фото")</f>
        <v>Фото</v>
      </c>
      <c r="H1455" s="18">
        <v>28.3</v>
      </c>
      <c r="I1455" s="27"/>
      <c r="J1455" s="13">
        <f>H1455*I1455</f>
        <v>0</v>
      </c>
    </row>
    <row r="1456" spans="1:10" ht="12" customHeight="1">
      <c r="A1456" s="13" t="s">
        <v>433</v>
      </c>
      <c r="B1456" s="13" t="s">
        <v>434</v>
      </c>
      <c r="C1456" s="13" t="s">
        <v>431</v>
      </c>
      <c r="D1456" s="13" t="s">
        <v>28</v>
      </c>
      <c r="E1456" s="13" t="s">
        <v>93</v>
      </c>
      <c r="F1456" s="13" t="s">
        <v>435</v>
      </c>
      <c r="G1456" s="20" t="str">
        <f>HYPERLINK("https://semena-nn.ru/catalog/43/999000009729","Фото")</f>
        <v>Фото</v>
      </c>
      <c r="H1456" s="19">
        <v>22.84</v>
      </c>
      <c r="I1456" s="27"/>
      <c r="J1456" s="13">
        <f>H1456*I1456</f>
        <v>0</v>
      </c>
    </row>
    <row r="1457" spans="1:10" ht="12" customHeight="1">
      <c r="A1457" s="13" t="s">
        <v>4124</v>
      </c>
      <c r="B1457" s="13" t="s">
        <v>4125</v>
      </c>
      <c r="C1457" s="13" t="s">
        <v>431</v>
      </c>
      <c r="D1457" s="13" t="s">
        <v>3475</v>
      </c>
      <c r="E1457" s="13" t="s">
        <v>93</v>
      </c>
      <c r="F1457" s="13" t="s">
        <v>4126</v>
      </c>
      <c r="G1457" s="20" t="str">
        <f>HYPERLINK("http://semena-nn.ru/catalog/43/1282642","Фото")</f>
        <v>Фото</v>
      </c>
      <c r="H1457" s="19">
        <v>23.15</v>
      </c>
      <c r="I1457" s="27"/>
      <c r="J1457" s="13">
        <f>H1457*I1457</f>
        <v>0</v>
      </c>
    </row>
    <row r="1458" spans="1:10" ht="12" customHeight="1">
      <c r="A1458" s="13" t="s">
        <v>4998</v>
      </c>
      <c r="B1458" s="13" t="s">
        <v>4999</v>
      </c>
      <c r="C1458" s="13" t="s">
        <v>431</v>
      </c>
      <c r="D1458" s="13" t="s">
        <v>3475</v>
      </c>
      <c r="E1458" s="13" t="s">
        <v>2636</v>
      </c>
      <c r="F1458" s="13" t="s">
        <v>5000</v>
      </c>
      <c r="G1458" s="20" t="str">
        <f>HYPERLINK("https://semena-nn.ru/catalog/43/888000007974","Фото")</f>
        <v>Фото</v>
      </c>
      <c r="H1458" s="18">
        <v>7.4</v>
      </c>
      <c r="I1458" s="27"/>
      <c r="J1458" s="13">
        <f>H1458*I1458</f>
        <v>0</v>
      </c>
    </row>
    <row r="1459" spans="1:10" ht="12" customHeight="1">
      <c r="A1459" s="13" t="s">
        <v>1643</v>
      </c>
      <c r="B1459" s="13" t="s">
        <v>1644</v>
      </c>
      <c r="C1459" s="13" t="s">
        <v>431</v>
      </c>
      <c r="D1459" s="13" t="s">
        <v>697</v>
      </c>
      <c r="E1459" s="13" t="s">
        <v>93</v>
      </c>
      <c r="F1459" s="13" t="s">
        <v>1645</v>
      </c>
      <c r="G1459" s="20" t="str">
        <f>HYPERLINK("http://semena-nn.ru/catalog/43/101339","Фото")</f>
        <v>Фото</v>
      </c>
      <c r="H1459" s="15">
        <v>23</v>
      </c>
      <c r="I1459" s="27"/>
      <c r="J1459" s="13">
        <f>H1459*I1459</f>
        <v>0</v>
      </c>
    </row>
    <row r="1460" spans="1:10" ht="12" customHeight="1">
      <c r="A1460" s="13" t="s">
        <v>3398</v>
      </c>
      <c r="B1460" s="13" t="s">
        <v>3399</v>
      </c>
      <c r="C1460" s="13" t="s">
        <v>431</v>
      </c>
      <c r="D1460" s="13" t="s">
        <v>697</v>
      </c>
      <c r="E1460" s="13" t="s">
        <v>3064</v>
      </c>
      <c r="F1460" s="13" t="s">
        <v>3400</v>
      </c>
      <c r="G1460" s="20" t="str">
        <f>HYPERLINK("http://www.semena-nn.ru/catalog/43/1300084","Фото")</f>
        <v>Фото</v>
      </c>
      <c r="H1460" s="19">
        <v>12.65</v>
      </c>
      <c r="I1460" s="27"/>
      <c r="J1460" s="13">
        <f>H1460*I1460</f>
        <v>0</v>
      </c>
    </row>
    <row r="1461" spans="1:10" ht="12" customHeight="1">
      <c r="A1461" s="13" t="s">
        <v>8896</v>
      </c>
      <c r="B1461" s="13" t="s">
        <v>8897</v>
      </c>
      <c r="C1461" s="13" t="s">
        <v>431</v>
      </c>
      <c r="D1461" s="13" t="s">
        <v>8717</v>
      </c>
      <c r="E1461" s="13" t="s">
        <v>93</v>
      </c>
      <c r="F1461" s="13" t="s">
        <v>8898</v>
      </c>
      <c r="G1461" s="20" t="str">
        <f>HYPERLINK("https://semena-nn.ru/catalog/43/999000020196","Фото")</f>
        <v>Фото</v>
      </c>
      <c r="H1461" s="15">
        <v>19</v>
      </c>
      <c r="I1461" s="27"/>
      <c r="J1461" s="13">
        <f>H1461*I1461</f>
        <v>0</v>
      </c>
    </row>
    <row r="1462" spans="1:10" ht="12" customHeight="1">
      <c r="A1462" s="13" t="s">
        <v>3401</v>
      </c>
      <c r="B1462" s="13" t="s">
        <v>3402</v>
      </c>
      <c r="C1462" s="13" t="s">
        <v>431</v>
      </c>
      <c r="D1462" s="13" t="s">
        <v>697</v>
      </c>
      <c r="E1462" s="13" t="s">
        <v>3064</v>
      </c>
      <c r="F1462" s="13" t="s">
        <v>3403</v>
      </c>
      <c r="G1462" s="20" t="str">
        <f>HYPERLINK("https://semena-nn.ru/catalog/43/1298456","Фото")</f>
        <v>Фото</v>
      </c>
      <c r="H1462" s="19">
        <v>12.65</v>
      </c>
      <c r="I1462" s="27"/>
      <c r="J1462" s="13">
        <f>H1462*I1462</f>
        <v>0</v>
      </c>
    </row>
    <row r="1463" spans="1:10" ht="12" customHeight="1">
      <c r="A1463" s="13" t="s">
        <v>7343</v>
      </c>
      <c r="B1463" s="13" t="s">
        <v>7344</v>
      </c>
      <c r="C1463" s="13" t="s">
        <v>431</v>
      </c>
      <c r="D1463" s="13" t="s">
        <v>7148</v>
      </c>
      <c r="E1463" s="13" t="s">
        <v>93</v>
      </c>
      <c r="F1463" s="13" t="s">
        <v>7345</v>
      </c>
      <c r="G1463" s="20" t="str">
        <f>HYPERLINK("https://semena-nn.ru/catalog/43/1313076","Фото")</f>
        <v>Фото</v>
      </c>
      <c r="H1463" s="18">
        <v>65.5</v>
      </c>
      <c r="I1463" s="27"/>
      <c r="J1463" s="13">
        <f>H1463*I1463</f>
        <v>0</v>
      </c>
    </row>
    <row r="1464" spans="1:10" ht="12" customHeight="1">
      <c r="A1464" s="13" t="s">
        <v>1646</v>
      </c>
      <c r="B1464" s="13" t="s">
        <v>1647</v>
      </c>
      <c r="C1464" s="13" t="s">
        <v>431</v>
      </c>
      <c r="D1464" s="13" t="s">
        <v>697</v>
      </c>
      <c r="E1464" s="13" t="s">
        <v>93</v>
      </c>
      <c r="F1464" s="13" t="s">
        <v>1648</v>
      </c>
      <c r="G1464" s="20" t="str">
        <f>HYPERLINK("http://semena-nn.ru/catalog/43/1311223","Фото")</f>
        <v>Фото</v>
      </c>
      <c r="H1464" s="15">
        <v>23</v>
      </c>
      <c r="I1464" s="27"/>
      <c r="J1464" s="13">
        <f>H1464*I1464</f>
        <v>0</v>
      </c>
    </row>
    <row r="1465" spans="1:10" ht="12" customHeight="1">
      <c r="A1465" s="13" t="s">
        <v>3404</v>
      </c>
      <c r="B1465" s="13" t="s">
        <v>3405</v>
      </c>
      <c r="C1465" s="13" t="s">
        <v>431</v>
      </c>
      <c r="D1465" s="13" t="s">
        <v>697</v>
      </c>
      <c r="E1465" s="13" t="s">
        <v>3064</v>
      </c>
      <c r="F1465" s="13" t="s">
        <v>3406</v>
      </c>
      <c r="G1465" s="20" t="str">
        <f>HYPERLINK("http://semena-nn.ru/catalog/43/1314670","Фото")</f>
        <v>Фото</v>
      </c>
      <c r="H1465" s="19">
        <v>12.35</v>
      </c>
      <c r="I1465" s="27"/>
      <c r="J1465" s="13">
        <f>H1465*I1465</f>
        <v>0</v>
      </c>
    </row>
    <row r="1466" spans="1:10" ht="12" customHeight="1">
      <c r="A1466" s="13" t="s">
        <v>3013</v>
      </c>
      <c r="B1466" s="13" t="s">
        <v>3014</v>
      </c>
      <c r="C1466" s="13" t="s">
        <v>3015</v>
      </c>
      <c r="D1466" s="13" t="s">
        <v>697</v>
      </c>
      <c r="E1466" s="13" t="s">
        <v>2636</v>
      </c>
      <c r="F1466" s="13" t="s">
        <v>3016</v>
      </c>
      <c r="G1466" s="20" t="str">
        <f>HYPERLINK("http://semena-nn.ru/catalog/44/1125323","Фото")</f>
        <v>Фото</v>
      </c>
      <c r="H1466" s="18">
        <v>9.1999999999999993</v>
      </c>
      <c r="I1466" s="27"/>
      <c r="J1466" s="13">
        <f>H1466*I1466</f>
        <v>0</v>
      </c>
    </row>
    <row r="1467" spans="1:10" ht="12" customHeight="1">
      <c r="A1467" s="13" t="s">
        <v>8114</v>
      </c>
      <c r="B1467" s="13" t="s">
        <v>8115</v>
      </c>
      <c r="C1467" s="13" t="s">
        <v>3015</v>
      </c>
      <c r="D1467" s="13" t="s">
        <v>7728</v>
      </c>
      <c r="E1467" s="13" t="s">
        <v>93</v>
      </c>
      <c r="F1467" s="13" t="s">
        <v>8116</v>
      </c>
      <c r="G1467" s="20" t="str">
        <f>HYPERLINK("http://semena-nn.ru/catalog/44/1120403","Фото")</f>
        <v>Фото</v>
      </c>
      <c r="H1467" s="18">
        <v>22.7</v>
      </c>
      <c r="I1467" s="27"/>
      <c r="J1467" s="13">
        <f>H1467*I1467</f>
        <v>0</v>
      </c>
    </row>
    <row r="1468" spans="1:10" ht="12" customHeight="1">
      <c r="A1468" s="13" t="s">
        <v>3017</v>
      </c>
      <c r="B1468" s="13" t="s">
        <v>3018</v>
      </c>
      <c r="C1468" s="13" t="s">
        <v>3015</v>
      </c>
      <c r="D1468" s="13" t="s">
        <v>697</v>
      </c>
      <c r="E1468" s="13" t="s">
        <v>2636</v>
      </c>
      <c r="F1468" s="13" t="s">
        <v>3019</v>
      </c>
      <c r="G1468" s="20" t="str">
        <f>HYPERLINK("http://semena-nn.ru/catalog/44/91510","Фото")</f>
        <v>Фото</v>
      </c>
      <c r="H1468" s="18">
        <v>7.1</v>
      </c>
      <c r="I1468" s="27"/>
      <c r="J1468" s="13">
        <f>H1468*I1468</f>
        <v>0</v>
      </c>
    </row>
    <row r="1469" spans="1:10" ht="12" customHeight="1">
      <c r="A1469" s="13" t="s">
        <v>3407</v>
      </c>
      <c r="B1469" s="13" t="s">
        <v>3408</v>
      </c>
      <c r="C1469" s="13" t="s">
        <v>3015</v>
      </c>
      <c r="D1469" s="13" t="s">
        <v>697</v>
      </c>
      <c r="E1469" s="13" t="s">
        <v>3064</v>
      </c>
      <c r="F1469" s="13" t="s">
        <v>3409</v>
      </c>
      <c r="G1469" s="20" t="str">
        <f>HYPERLINK("http://semena-nn.ru/catalog/44/1309917","Фото")</f>
        <v>Фото</v>
      </c>
      <c r="H1469" s="19">
        <v>12.65</v>
      </c>
      <c r="I1469" s="27"/>
      <c r="J1469" s="13">
        <f>H1469*I1469</f>
        <v>0</v>
      </c>
    </row>
    <row r="1470" spans="1:10" ht="12" customHeight="1">
      <c r="A1470" s="13" t="s">
        <v>5299</v>
      </c>
      <c r="B1470" s="13" t="s">
        <v>5300</v>
      </c>
      <c r="C1470" s="13" t="s">
        <v>208</v>
      </c>
      <c r="D1470" s="13" t="s">
        <v>5136</v>
      </c>
      <c r="E1470" s="13" t="s">
        <v>93</v>
      </c>
      <c r="F1470" s="13" t="s">
        <v>5301</v>
      </c>
      <c r="G1470" s="20" t="str">
        <f>HYPERLINK("https://semena-nn.ru/catalog/53/1313289","Фото")</f>
        <v>Фото</v>
      </c>
      <c r="H1470" s="15">
        <v>40</v>
      </c>
      <c r="I1470" s="27"/>
      <c r="J1470" s="13">
        <f>H1470*I1470</f>
        <v>0</v>
      </c>
    </row>
    <row r="1471" spans="1:10" ht="12" customHeight="1">
      <c r="A1471" s="13" t="s">
        <v>8117</v>
      </c>
      <c r="B1471" s="13" t="s">
        <v>8118</v>
      </c>
      <c r="C1471" s="13" t="s">
        <v>605</v>
      </c>
      <c r="D1471" s="13" t="s">
        <v>7728</v>
      </c>
      <c r="E1471" s="13" t="s">
        <v>93</v>
      </c>
      <c r="F1471" s="13" t="s">
        <v>8119</v>
      </c>
      <c r="G1471" s="20" t="str">
        <f>HYPERLINK("https://semena-nn.ru/catalog/55/1303562","Фото")</f>
        <v>Фото</v>
      </c>
      <c r="H1471" s="18">
        <v>36.5</v>
      </c>
      <c r="I1471" s="27"/>
      <c r="J1471" s="13">
        <f>H1471*I1471</f>
        <v>0</v>
      </c>
    </row>
    <row r="1472" spans="1:10" ht="12" customHeight="1">
      <c r="A1472" s="13" t="s">
        <v>1649</v>
      </c>
      <c r="B1472" s="13" t="s">
        <v>1650</v>
      </c>
      <c r="C1472" s="13" t="s">
        <v>696</v>
      </c>
      <c r="D1472" s="13" t="s">
        <v>697</v>
      </c>
      <c r="E1472" s="13" t="s">
        <v>93</v>
      </c>
      <c r="F1472" s="13" t="s">
        <v>1651</v>
      </c>
      <c r="G1472" s="20" t="str">
        <f>HYPERLINK("http://semena-nn.ru/catalog/38/1125681","Фото")</f>
        <v>Фото</v>
      </c>
      <c r="H1472" s="18">
        <v>46.1</v>
      </c>
      <c r="I1472" s="27"/>
      <c r="J1472" s="13">
        <f>H1472*I1472</f>
        <v>0</v>
      </c>
    </row>
    <row r="1473" spans="1:10" ht="12" customHeight="1">
      <c r="A1473" s="13" t="s">
        <v>1652</v>
      </c>
      <c r="B1473" s="13" t="s">
        <v>1653</v>
      </c>
      <c r="C1473" s="13" t="s">
        <v>1654</v>
      </c>
      <c r="D1473" s="13" t="s">
        <v>697</v>
      </c>
      <c r="E1473" s="13" t="s">
        <v>93</v>
      </c>
      <c r="F1473" s="13" t="s">
        <v>1655</v>
      </c>
      <c r="G1473" s="20" t="str">
        <f>HYPERLINK("https://semena-nn.ru/catalog/45/999000011006","Фото")</f>
        <v>Фото</v>
      </c>
      <c r="H1473" s="18">
        <v>29.5</v>
      </c>
      <c r="I1473" s="27"/>
      <c r="J1473" s="13">
        <f>H1473*I1473</f>
        <v>0</v>
      </c>
    </row>
    <row r="1474" spans="1:10" ht="12" customHeight="1">
      <c r="A1474" s="13" t="s">
        <v>8983</v>
      </c>
      <c r="B1474" s="13" t="s">
        <v>8984</v>
      </c>
      <c r="C1474" s="13" t="s">
        <v>1654</v>
      </c>
      <c r="D1474" s="13" t="s">
        <v>8717</v>
      </c>
      <c r="E1474" s="13" t="s">
        <v>2636</v>
      </c>
      <c r="F1474" s="13" t="s">
        <v>8985</v>
      </c>
      <c r="G1474" s="20" t="str">
        <f>HYPERLINK("http://semena-nn.ru/catalog/45/1315136","Фото")</f>
        <v>Фото</v>
      </c>
      <c r="H1474" s="18">
        <v>13.6</v>
      </c>
      <c r="I1474" s="27"/>
      <c r="J1474" s="13">
        <f>H1474*I1474</f>
        <v>0</v>
      </c>
    </row>
    <row r="1475" spans="1:10" ht="12" customHeight="1">
      <c r="A1475" s="13" t="s">
        <v>8899</v>
      </c>
      <c r="B1475" s="13" t="s">
        <v>8900</v>
      </c>
      <c r="C1475" s="13" t="s">
        <v>1654</v>
      </c>
      <c r="D1475" s="13" t="s">
        <v>8717</v>
      </c>
      <c r="E1475" s="13" t="s">
        <v>93</v>
      </c>
      <c r="F1475" s="13" t="s">
        <v>8901</v>
      </c>
      <c r="G1475" s="20" t="str">
        <f>HYPERLINK("https://semena-nn.ru/catalog/45/999000020198","Фото")</f>
        <v>Фото</v>
      </c>
      <c r="H1475" s="18">
        <v>27.8</v>
      </c>
      <c r="I1475" s="27"/>
      <c r="J1475" s="13">
        <f>H1475*I1475</f>
        <v>0</v>
      </c>
    </row>
    <row r="1476" spans="1:10" ht="12" customHeight="1">
      <c r="A1476" s="13" t="s">
        <v>8902</v>
      </c>
      <c r="B1476" s="13" t="s">
        <v>8903</v>
      </c>
      <c r="C1476" s="13" t="s">
        <v>1654</v>
      </c>
      <c r="D1476" s="13" t="s">
        <v>8717</v>
      </c>
      <c r="E1476" s="13" t="s">
        <v>93</v>
      </c>
      <c r="F1476" s="13" t="s">
        <v>8904</v>
      </c>
      <c r="G1476" s="20" t="str">
        <f>HYPERLINK("http://semena-nn.ru/catalog/45/1308863","Фото")</f>
        <v>Фото</v>
      </c>
      <c r="H1476" s="18">
        <v>27.8</v>
      </c>
      <c r="I1476" s="27"/>
      <c r="J1476" s="13">
        <f>H1476*I1476</f>
        <v>0</v>
      </c>
    </row>
    <row r="1477" spans="1:10" ht="12" customHeight="1">
      <c r="A1477" s="13" t="s">
        <v>7047</v>
      </c>
      <c r="B1477" s="13" t="s">
        <v>7048</v>
      </c>
      <c r="C1477" s="13" t="s">
        <v>1654</v>
      </c>
      <c r="D1477" s="13" t="s">
        <v>6927</v>
      </c>
      <c r="E1477" s="13" t="s">
        <v>93</v>
      </c>
      <c r="F1477" s="13" t="s">
        <v>7049</v>
      </c>
      <c r="G1477" s="20" t="str">
        <f>HYPERLINK("http://semena-nn.ru/catalog/45/1310403","Фото")</f>
        <v>Фото</v>
      </c>
      <c r="H1477" s="18">
        <v>25.3</v>
      </c>
      <c r="I1477" s="27"/>
      <c r="J1477" s="13">
        <f>H1477*I1477</f>
        <v>0</v>
      </c>
    </row>
    <row r="1478" spans="1:10" ht="12" customHeight="1">
      <c r="A1478" s="13" t="s">
        <v>4127</v>
      </c>
      <c r="B1478" s="13" t="s">
        <v>4128</v>
      </c>
      <c r="C1478" s="13" t="s">
        <v>1654</v>
      </c>
      <c r="D1478" s="13" t="s">
        <v>3475</v>
      </c>
      <c r="E1478" s="13" t="s">
        <v>93</v>
      </c>
      <c r="F1478" s="13" t="s">
        <v>4129</v>
      </c>
      <c r="G1478" s="20" t="str">
        <f>HYPERLINK("http://semena-nn.ru/catalog/45/1315632","Фото")</f>
        <v>Фото</v>
      </c>
      <c r="H1478" s="19">
        <v>20.85</v>
      </c>
      <c r="I1478" s="27"/>
      <c r="J1478" s="13">
        <f>H1478*I1478</f>
        <v>0</v>
      </c>
    </row>
    <row r="1479" spans="1:10" ht="12" customHeight="1">
      <c r="A1479" s="13" t="s">
        <v>4130</v>
      </c>
      <c r="B1479" s="13" t="s">
        <v>4131</v>
      </c>
      <c r="C1479" s="13" t="s">
        <v>1654</v>
      </c>
      <c r="D1479" s="13" t="s">
        <v>3475</v>
      </c>
      <c r="E1479" s="13" t="s">
        <v>93</v>
      </c>
      <c r="F1479" s="13" t="s">
        <v>4132</v>
      </c>
      <c r="G1479" s="20" t="str">
        <f>HYPERLINK("http://semena-nn.ru/catalog/45/1308014","Фото")</f>
        <v>Фото</v>
      </c>
      <c r="H1479" s="19">
        <v>20.85</v>
      </c>
      <c r="I1479" s="27"/>
      <c r="J1479" s="13">
        <f>H1479*I1479</f>
        <v>0</v>
      </c>
    </row>
    <row r="1480" spans="1:10" ht="12" customHeight="1">
      <c r="A1480" s="13" t="s">
        <v>1656</v>
      </c>
      <c r="B1480" s="13" t="s">
        <v>1657</v>
      </c>
      <c r="C1480" s="13" t="s">
        <v>1654</v>
      </c>
      <c r="D1480" s="13" t="s">
        <v>697</v>
      </c>
      <c r="E1480" s="13" t="s">
        <v>93</v>
      </c>
      <c r="F1480" s="13" t="s">
        <v>1658</v>
      </c>
      <c r="G1480" s="20" t="str">
        <f>HYPERLINK("https://semena-nn.ru/catalog/45/999000009232","Фото")</f>
        <v>Фото</v>
      </c>
      <c r="H1480" s="18">
        <v>29.5</v>
      </c>
      <c r="I1480" s="27"/>
      <c r="J1480" s="13">
        <f>H1480*I1480</f>
        <v>0</v>
      </c>
    </row>
    <row r="1481" spans="1:10" ht="12" customHeight="1">
      <c r="A1481" s="13" t="s">
        <v>1659</v>
      </c>
      <c r="B1481" s="13" t="s">
        <v>1660</v>
      </c>
      <c r="C1481" s="13" t="s">
        <v>696</v>
      </c>
      <c r="D1481" s="13" t="s">
        <v>697</v>
      </c>
      <c r="E1481" s="13" t="s">
        <v>93</v>
      </c>
      <c r="F1481" s="13" t="s">
        <v>1661</v>
      </c>
      <c r="G1481" s="20" t="str">
        <f>HYPERLINK("http://semena-nn.ru/catalog/38/1315392","Фото")</f>
        <v>Фото</v>
      </c>
      <c r="H1481" s="18">
        <v>23.9</v>
      </c>
      <c r="I1481" s="27"/>
      <c r="J1481" s="13">
        <f>H1481*I1481</f>
        <v>0</v>
      </c>
    </row>
    <row r="1482" spans="1:10" ht="12" customHeight="1">
      <c r="A1482" s="13" t="s">
        <v>8120</v>
      </c>
      <c r="B1482" s="13" t="s">
        <v>8121</v>
      </c>
      <c r="C1482" s="13" t="s">
        <v>696</v>
      </c>
      <c r="D1482" s="13" t="s">
        <v>7728</v>
      </c>
      <c r="E1482" s="13" t="s">
        <v>93</v>
      </c>
      <c r="F1482" s="13" t="s">
        <v>8122</v>
      </c>
      <c r="G1482" s="20" t="str">
        <f>HYPERLINK("https://semena-nn.ru/catalog/38/1285110","Фото")</f>
        <v>Фото</v>
      </c>
      <c r="H1482" s="15">
        <v>26</v>
      </c>
      <c r="I1482" s="27"/>
      <c r="J1482" s="13">
        <f>H1482*I1482</f>
        <v>0</v>
      </c>
    </row>
    <row r="1483" spans="1:10" ht="12" customHeight="1">
      <c r="A1483" s="13" t="s">
        <v>1662</v>
      </c>
      <c r="B1483" s="13" t="s">
        <v>1663</v>
      </c>
      <c r="C1483" s="13" t="s">
        <v>696</v>
      </c>
      <c r="D1483" s="13" t="s">
        <v>697</v>
      </c>
      <c r="E1483" s="13" t="s">
        <v>93</v>
      </c>
      <c r="F1483" s="13" t="s">
        <v>1664</v>
      </c>
      <c r="G1483" s="20" t="str">
        <f>HYPERLINK("https://semena-nn.ru/catalog/38/1312558","Фото")</f>
        <v>Фото</v>
      </c>
      <c r="H1483" s="19">
        <v>22.75</v>
      </c>
      <c r="I1483" s="27"/>
      <c r="J1483" s="13">
        <f>H1483*I1483</f>
        <v>0</v>
      </c>
    </row>
    <row r="1484" spans="1:10" ht="12" customHeight="1">
      <c r="A1484" s="13" t="s">
        <v>1665</v>
      </c>
      <c r="B1484" s="13" t="s">
        <v>1666</v>
      </c>
      <c r="C1484" s="13" t="s">
        <v>696</v>
      </c>
      <c r="D1484" s="13" t="s">
        <v>697</v>
      </c>
      <c r="E1484" s="13" t="s">
        <v>93</v>
      </c>
      <c r="F1484" s="13" t="s">
        <v>1667</v>
      </c>
      <c r="G1484" s="20" t="str">
        <f>HYPERLINK("http://semena-nn.ru/catalog/38/1302032","Фото")</f>
        <v>Фото</v>
      </c>
      <c r="H1484" s="19">
        <v>22.75</v>
      </c>
      <c r="I1484" s="27"/>
      <c r="J1484" s="13">
        <f>H1484*I1484</f>
        <v>0</v>
      </c>
    </row>
    <row r="1485" spans="1:10" ht="12" customHeight="1">
      <c r="A1485" s="13" t="s">
        <v>4133</v>
      </c>
      <c r="B1485" s="13" t="s">
        <v>4134</v>
      </c>
      <c r="C1485" s="13" t="s">
        <v>696</v>
      </c>
      <c r="D1485" s="13" t="s">
        <v>3475</v>
      </c>
      <c r="E1485" s="13" t="s">
        <v>93</v>
      </c>
      <c r="F1485" s="13" t="s">
        <v>4135</v>
      </c>
      <c r="G1485" s="20" t="str">
        <f>HYPERLINK("http://semena-nn.ru/catalog/38/1114540","Фото")</f>
        <v>Фото</v>
      </c>
      <c r="H1485" s="18">
        <v>18.7</v>
      </c>
      <c r="I1485" s="27"/>
      <c r="J1485" s="13">
        <f>H1485*I1485</f>
        <v>0</v>
      </c>
    </row>
    <row r="1486" spans="1:10" ht="12" customHeight="1">
      <c r="A1486" s="13" t="s">
        <v>1668</v>
      </c>
      <c r="B1486" s="13" t="s">
        <v>1669</v>
      </c>
      <c r="C1486" s="13" t="s">
        <v>696</v>
      </c>
      <c r="D1486" s="13" t="s">
        <v>697</v>
      </c>
      <c r="E1486" s="13" t="s">
        <v>93</v>
      </c>
      <c r="F1486" s="13" t="s">
        <v>1670</v>
      </c>
      <c r="G1486" s="20" t="str">
        <f>HYPERLINK("https://semena-nn.ru/catalog/38/98143","Фото")</f>
        <v>Фото</v>
      </c>
      <c r="H1486" s="18">
        <v>18.7</v>
      </c>
      <c r="I1486" s="27"/>
      <c r="J1486" s="13">
        <f>H1486*I1486</f>
        <v>0</v>
      </c>
    </row>
    <row r="1487" spans="1:10" ht="12" customHeight="1">
      <c r="A1487" s="13" t="s">
        <v>5302</v>
      </c>
      <c r="B1487" s="13" t="s">
        <v>5303</v>
      </c>
      <c r="C1487" s="13" t="s">
        <v>143</v>
      </c>
      <c r="D1487" s="13" t="s">
        <v>5136</v>
      </c>
      <c r="E1487" s="13" t="s">
        <v>93</v>
      </c>
      <c r="F1487" s="13" t="s">
        <v>5304</v>
      </c>
      <c r="G1487" s="20" t="str">
        <f>HYPERLINK("https://semena-nn.ru/catalog/46/1313290","Фото")</f>
        <v>Фото</v>
      </c>
      <c r="H1487" s="15">
        <v>54</v>
      </c>
      <c r="I1487" s="27"/>
      <c r="J1487" s="13">
        <f>H1487*I1487</f>
        <v>0</v>
      </c>
    </row>
    <row r="1488" spans="1:10" ht="12" customHeight="1">
      <c r="A1488" s="13" t="s">
        <v>5305</v>
      </c>
      <c r="B1488" s="13" t="s">
        <v>5306</v>
      </c>
      <c r="C1488" s="13" t="s">
        <v>143</v>
      </c>
      <c r="D1488" s="13" t="s">
        <v>5136</v>
      </c>
      <c r="E1488" s="13" t="s">
        <v>93</v>
      </c>
      <c r="F1488" s="13" t="s">
        <v>5307</v>
      </c>
      <c r="G1488" s="20" t="str">
        <f>HYPERLINK("https://semena-nn.ru/catalog/46/1313291","Фото")</f>
        <v>Фото</v>
      </c>
      <c r="H1488" s="18">
        <v>83.9</v>
      </c>
      <c r="I1488" s="27"/>
      <c r="J1488" s="13">
        <f>H1488*I1488</f>
        <v>0</v>
      </c>
    </row>
    <row r="1489" spans="1:10" ht="12" customHeight="1">
      <c r="A1489" s="13" t="s">
        <v>5308</v>
      </c>
      <c r="B1489" s="13" t="s">
        <v>5309</v>
      </c>
      <c r="C1489" s="13" t="s">
        <v>143</v>
      </c>
      <c r="D1489" s="13" t="s">
        <v>5136</v>
      </c>
      <c r="E1489" s="13" t="s">
        <v>93</v>
      </c>
      <c r="F1489" s="13" t="s">
        <v>5310</v>
      </c>
      <c r="G1489" s="20" t="str">
        <f>HYPERLINK("https://semena-nn.ru/catalog/46/999000020408","Фото")</f>
        <v>Фото</v>
      </c>
      <c r="H1489" s="18">
        <v>55.5</v>
      </c>
      <c r="I1489" s="27"/>
      <c r="J1489" s="13">
        <f>H1489*I1489</f>
        <v>0</v>
      </c>
    </row>
    <row r="1490" spans="1:10" ht="12" customHeight="1">
      <c r="A1490" s="13" t="s">
        <v>7346</v>
      </c>
      <c r="B1490" s="13" t="s">
        <v>7347</v>
      </c>
      <c r="C1490" s="13" t="s">
        <v>143</v>
      </c>
      <c r="D1490" s="13" t="s">
        <v>7148</v>
      </c>
      <c r="E1490" s="13" t="s">
        <v>93</v>
      </c>
      <c r="F1490" s="13" t="s">
        <v>7348</v>
      </c>
      <c r="G1490" s="20" t="str">
        <f>HYPERLINK("http://semena-nn.ru/catalog/46/1314219","Фото")</f>
        <v>Фото</v>
      </c>
      <c r="H1490" s="18">
        <v>65.5</v>
      </c>
      <c r="I1490" s="27"/>
      <c r="J1490" s="13">
        <f>H1490*I1490</f>
        <v>0</v>
      </c>
    </row>
    <row r="1491" spans="1:10" ht="12" customHeight="1">
      <c r="A1491" s="13" t="s">
        <v>5311</v>
      </c>
      <c r="B1491" s="13" t="s">
        <v>5312</v>
      </c>
      <c r="C1491" s="13" t="s">
        <v>143</v>
      </c>
      <c r="D1491" s="13" t="s">
        <v>5136</v>
      </c>
      <c r="E1491" s="13" t="s">
        <v>93</v>
      </c>
      <c r="F1491" s="13" t="s">
        <v>5313</v>
      </c>
      <c r="G1491" s="20" t="str">
        <f>HYPERLINK("https://semena-nn.ru/catalog/46/999000019910","Фото")</f>
        <v>Фото</v>
      </c>
      <c r="H1491" s="15">
        <v>56</v>
      </c>
      <c r="I1491" s="27"/>
      <c r="J1491" s="13">
        <f>H1491*I1491</f>
        <v>0</v>
      </c>
    </row>
    <row r="1492" spans="1:10" ht="12" customHeight="1">
      <c r="A1492" s="13" t="s">
        <v>1671</v>
      </c>
      <c r="B1492" s="13" t="s">
        <v>1672</v>
      </c>
      <c r="C1492" s="13" t="s">
        <v>143</v>
      </c>
      <c r="D1492" s="13" t="s">
        <v>697</v>
      </c>
      <c r="E1492" s="13" t="s">
        <v>93</v>
      </c>
      <c r="F1492" s="13" t="s">
        <v>1673</v>
      </c>
      <c r="G1492" s="20" t="str">
        <f>HYPERLINK("https://semena-nn.ru/catalog/46/999000009174","Фото")</f>
        <v>Фото</v>
      </c>
      <c r="H1492" s="19">
        <v>25.15</v>
      </c>
      <c r="I1492" s="27"/>
      <c r="J1492" s="13">
        <f>H1492*I1492</f>
        <v>0</v>
      </c>
    </row>
    <row r="1493" spans="1:10" ht="12" customHeight="1">
      <c r="A1493" s="13" t="s">
        <v>8905</v>
      </c>
      <c r="B1493" s="13" t="s">
        <v>8906</v>
      </c>
      <c r="C1493" s="13" t="s">
        <v>143</v>
      </c>
      <c r="D1493" s="13" t="s">
        <v>8717</v>
      </c>
      <c r="E1493" s="13" t="s">
        <v>93</v>
      </c>
      <c r="F1493" s="13" t="s">
        <v>8907</v>
      </c>
      <c r="G1493" s="20" t="str">
        <f>HYPERLINK("https://semena-nn.ru/catalog/46/999000011607","Фото")</f>
        <v>Фото</v>
      </c>
      <c r="H1493" s="19">
        <v>14.85</v>
      </c>
      <c r="I1493" s="27"/>
      <c r="J1493" s="13">
        <f>H1493*I1493</f>
        <v>0</v>
      </c>
    </row>
    <row r="1494" spans="1:10" ht="12" customHeight="1">
      <c r="A1494" s="13" t="s">
        <v>4136</v>
      </c>
      <c r="B1494" s="13" t="s">
        <v>4137</v>
      </c>
      <c r="C1494" s="13" t="s">
        <v>143</v>
      </c>
      <c r="D1494" s="13" t="s">
        <v>3475</v>
      </c>
      <c r="E1494" s="13" t="s">
        <v>93</v>
      </c>
      <c r="F1494" s="13" t="s">
        <v>4138</v>
      </c>
      <c r="G1494" s="20" t="str">
        <f>HYPERLINK("https://semena-nn.ru/catalog/46/999000012793","Фото")</f>
        <v>Фото</v>
      </c>
      <c r="H1494" s="19">
        <v>17.350000000000001</v>
      </c>
      <c r="I1494" s="27"/>
      <c r="J1494" s="13">
        <f>H1494*I1494</f>
        <v>0</v>
      </c>
    </row>
    <row r="1495" spans="1:10" ht="12" customHeight="1">
      <c r="A1495" s="13" t="s">
        <v>3020</v>
      </c>
      <c r="B1495" s="13" t="s">
        <v>3021</v>
      </c>
      <c r="C1495" s="13" t="s">
        <v>143</v>
      </c>
      <c r="D1495" s="13" t="s">
        <v>697</v>
      </c>
      <c r="E1495" s="13" t="s">
        <v>2636</v>
      </c>
      <c r="F1495" s="13" t="s">
        <v>3022</v>
      </c>
      <c r="G1495" s="20" t="str">
        <f>HYPERLINK("http://semena-nn.ru/catalog/46/93496","Фото")</f>
        <v>Фото</v>
      </c>
      <c r="H1495" s="19">
        <v>6.85</v>
      </c>
      <c r="I1495" s="27"/>
      <c r="J1495" s="13">
        <f>H1495*I1495</f>
        <v>0</v>
      </c>
    </row>
    <row r="1496" spans="1:10" ht="12" customHeight="1">
      <c r="A1496" s="13" t="s">
        <v>3410</v>
      </c>
      <c r="B1496" s="13" t="s">
        <v>3411</v>
      </c>
      <c r="C1496" s="13" t="s">
        <v>143</v>
      </c>
      <c r="D1496" s="13" t="s">
        <v>697</v>
      </c>
      <c r="E1496" s="13" t="s">
        <v>3064</v>
      </c>
      <c r="F1496" s="13" t="s">
        <v>3412</v>
      </c>
      <c r="G1496" s="20" t="str">
        <f>HYPERLINK("http://semena-nn.ru/catalog/46/1288668","Фото")</f>
        <v>Фото</v>
      </c>
      <c r="H1496" s="19">
        <v>12.05</v>
      </c>
      <c r="I1496" s="27"/>
      <c r="J1496" s="13">
        <f>H1496*I1496</f>
        <v>0</v>
      </c>
    </row>
    <row r="1497" spans="1:10" ht="12" customHeight="1">
      <c r="A1497" s="13" t="s">
        <v>8123</v>
      </c>
      <c r="B1497" s="13" t="s">
        <v>8124</v>
      </c>
      <c r="C1497" s="13" t="s">
        <v>143</v>
      </c>
      <c r="D1497" s="13" t="s">
        <v>7728</v>
      </c>
      <c r="E1497" s="13" t="s">
        <v>93</v>
      </c>
      <c r="F1497" s="13" t="s">
        <v>8125</v>
      </c>
      <c r="G1497" s="20" t="str">
        <f>HYPERLINK("http://semena-nn.ru/catalog/46/104412","Фото")</f>
        <v>Фото</v>
      </c>
      <c r="H1497" s="18">
        <v>42.1</v>
      </c>
      <c r="I1497" s="27"/>
      <c r="J1497" s="13">
        <f>H1497*I1497</f>
        <v>0</v>
      </c>
    </row>
    <row r="1498" spans="1:10" ht="12" customHeight="1">
      <c r="A1498" s="13" t="s">
        <v>141</v>
      </c>
      <c r="B1498" s="13" t="s">
        <v>142</v>
      </c>
      <c r="C1498" s="13" t="s">
        <v>143</v>
      </c>
      <c r="D1498" s="13" t="s">
        <v>92</v>
      </c>
      <c r="E1498" s="13" t="s">
        <v>93</v>
      </c>
      <c r="F1498" s="13" t="s">
        <v>144</v>
      </c>
      <c r="G1498" s="20" t="str">
        <f>HYPERLINK("https://semena-nn.ru/catalog/46/888000000188","Фото")</f>
        <v>Фото</v>
      </c>
      <c r="H1498" s="18">
        <v>27.3</v>
      </c>
      <c r="I1498" s="27"/>
      <c r="J1498" s="13">
        <f>H1498*I1498</f>
        <v>0</v>
      </c>
    </row>
    <row r="1499" spans="1:10" ht="12" customHeight="1">
      <c r="A1499" s="13" t="s">
        <v>7349</v>
      </c>
      <c r="B1499" s="13" t="s">
        <v>7350</v>
      </c>
      <c r="C1499" s="13" t="s">
        <v>143</v>
      </c>
      <c r="D1499" s="13" t="s">
        <v>7148</v>
      </c>
      <c r="E1499" s="13" t="s">
        <v>93</v>
      </c>
      <c r="F1499" s="13" t="s">
        <v>7351</v>
      </c>
      <c r="G1499" s="20" t="str">
        <f>HYPERLINK("https://semena-nn.ru/catalog/46/999000009518","Фото")</f>
        <v>Фото</v>
      </c>
      <c r="H1499" s="18">
        <v>95.8</v>
      </c>
      <c r="I1499" s="27"/>
      <c r="J1499" s="13">
        <f>H1499*I1499</f>
        <v>0</v>
      </c>
    </row>
    <row r="1500" spans="1:10" ht="12" customHeight="1">
      <c r="A1500" s="13" t="s">
        <v>8126</v>
      </c>
      <c r="B1500" s="13" t="s">
        <v>8127</v>
      </c>
      <c r="C1500" s="13" t="s">
        <v>143</v>
      </c>
      <c r="D1500" s="13" t="s">
        <v>7728</v>
      </c>
      <c r="E1500" s="13" t="s">
        <v>93</v>
      </c>
      <c r="F1500" s="13" t="s">
        <v>8128</v>
      </c>
      <c r="G1500" s="20" t="str">
        <f>HYPERLINK("http://semena-nn.ru/catalog/46/1309742","Фото")</f>
        <v>Фото</v>
      </c>
      <c r="H1500" s="18">
        <v>53.7</v>
      </c>
      <c r="I1500" s="27"/>
      <c r="J1500" s="13">
        <f>H1500*I1500</f>
        <v>0</v>
      </c>
    </row>
    <row r="1501" spans="1:10" ht="12" customHeight="1">
      <c r="A1501" s="13" t="s">
        <v>8129</v>
      </c>
      <c r="B1501" s="13" t="s">
        <v>8130</v>
      </c>
      <c r="C1501" s="13" t="s">
        <v>143</v>
      </c>
      <c r="D1501" s="13" t="s">
        <v>7728</v>
      </c>
      <c r="E1501" s="13" t="s">
        <v>93</v>
      </c>
      <c r="F1501" s="13" t="s">
        <v>8131</v>
      </c>
      <c r="G1501" s="20" t="str">
        <f>HYPERLINK("http://semena-nn.ru/catalog/46/999000003743","Фото")</f>
        <v>Фото</v>
      </c>
      <c r="H1501" s="18">
        <v>46.4</v>
      </c>
      <c r="I1501" s="27"/>
      <c r="J1501" s="13">
        <f>H1501*I1501</f>
        <v>0</v>
      </c>
    </row>
    <row r="1502" spans="1:10" ht="12" customHeight="1">
      <c r="A1502" s="13" t="s">
        <v>7352</v>
      </c>
      <c r="B1502" s="13" t="s">
        <v>7353</v>
      </c>
      <c r="C1502" s="13" t="s">
        <v>143</v>
      </c>
      <c r="D1502" s="13" t="s">
        <v>7148</v>
      </c>
      <c r="E1502" s="13" t="s">
        <v>93</v>
      </c>
      <c r="F1502" s="13" t="s">
        <v>7354</v>
      </c>
      <c r="G1502" s="20" t="str">
        <f>HYPERLINK("https://semena-nn.ru/catalog/46/888000000353","Фото")</f>
        <v>Фото</v>
      </c>
      <c r="H1502" s="18">
        <v>75.599999999999994</v>
      </c>
      <c r="I1502" s="27"/>
      <c r="J1502" s="13">
        <f>H1502*I1502</f>
        <v>0</v>
      </c>
    </row>
    <row r="1503" spans="1:10" ht="12" customHeight="1">
      <c r="A1503" s="13" t="s">
        <v>3023</v>
      </c>
      <c r="B1503" s="13" t="s">
        <v>3024</v>
      </c>
      <c r="C1503" s="13" t="s">
        <v>143</v>
      </c>
      <c r="D1503" s="13" t="s">
        <v>697</v>
      </c>
      <c r="E1503" s="13" t="s">
        <v>2636</v>
      </c>
      <c r="F1503" s="13" t="s">
        <v>3025</v>
      </c>
      <c r="G1503" s="20" t="str">
        <f>HYPERLINK("http://semena-nn.ru/catalog/46/3162","Фото")</f>
        <v>Фото</v>
      </c>
      <c r="H1503" s="19">
        <v>6.85</v>
      </c>
      <c r="I1503" s="27"/>
      <c r="J1503" s="13">
        <f>H1503*I1503</f>
        <v>0</v>
      </c>
    </row>
    <row r="1504" spans="1:10" ht="12" customHeight="1">
      <c r="A1504" s="13" t="s">
        <v>436</v>
      </c>
      <c r="B1504" s="13" t="s">
        <v>437</v>
      </c>
      <c r="C1504" s="13" t="s">
        <v>143</v>
      </c>
      <c r="D1504" s="13" t="s">
        <v>28</v>
      </c>
      <c r="E1504" s="13" t="s">
        <v>93</v>
      </c>
      <c r="F1504" s="13" t="s">
        <v>438</v>
      </c>
      <c r="G1504" s="20" t="str">
        <f>HYPERLINK("https://semena-nn.ru/catalog/46/999000012948","Фото")</f>
        <v>Фото</v>
      </c>
      <c r="H1504" s="19">
        <v>47.78</v>
      </c>
      <c r="I1504" s="27"/>
      <c r="J1504" s="13">
        <f>H1504*I1504</f>
        <v>0</v>
      </c>
    </row>
    <row r="1505" spans="1:10" ht="12" customHeight="1">
      <c r="A1505" s="13" t="s">
        <v>7355</v>
      </c>
      <c r="B1505" s="13" t="s">
        <v>7356</v>
      </c>
      <c r="C1505" s="13" t="s">
        <v>143</v>
      </c>
      <c r="D1505" s="13" t="s">
        <v>7148</v>
      </c>
      <c r="E1505" s="13" t="s">
        <v>93</v>
      </c>
      <c r="F1505" s="13" t="s">
        <v>7357</v>
      </c>
      <c r="G1505" s="20" t="str">
        <f>HYPERLINK("http://semena-nn.ru/catalog/46/1313748","Фото")</f>
        <v>Фото</v>
      </c>
      <c r="H1505" s="18">
        <v>66.8</v>
      </c>
      <c r="I1505" s="27"/>
      <c r="J1505" s="13">
        <f>H1505*I1505</f>
        <v>0</v>
      </c>
    </row>
    <row r="1506" spans="1:10" ht="12" customHeight="1">
      <c r="A1506" s="13" t="s">
        <v>8545</v>
      </c>
      <c r="B1506" s="13" t="s">
        <v>8546</v>
      </c>
      <c r="C1506" s="13" t="s">
        <v>143</v>
      </c>
      <c r="D1506" s="13" t="s">
        <v>8498</v>
      </c>
      <c r="E1506" s="13" t="s">
        <v>93</v>
      </c>
      <c r="F1506" s="13" t="s">
        <v>8547</v>
      </c>
      <c r="G1506" s="20" t="str">
        <f>HYPERLINK("https://semena-nn.ru/catalog/46/105591","Фото")</f>
        <v>Фото</v>
      </c>
      <c r="H1506" s="18">
        <v>29.3</v>
      </c>
      <c r="I1506" s="27"/>
      <c r="J1506" s="13">
        <f>H1506*I1506</f>
        <v>0</v>
      </c>
    </row>
    <row r="1507" spans="1:10" ht="12" customHeight="1">
      <c r="A1507" s="13" t="s">
        <v>6539</v>
      </c>
      <c r="B1507" s="13" t="s">
        <v>6540</v>
      </c>
      <c r="C1507" s="13" t="s">
        <v>143</v>
      </c>
      <c r="D1507" s="13" t="s">
        <v>87</v>
      </c>
      <c r="E1507" s="13" t="s">
        <v>93</v>
      </c>
      <c r="F1507" s="13" t="s">
        <v>6541</v>
      </c>
      <c r="G1507" s="20" t="str">
        <f>HYPERLINK("https://semena-nn.ru/catalog/46/1303630","Фото")</f>
        <v>Фото</v>
      </c>
      <c r="H1507" s="18">
        <v>40.4</v>
      </c>
      <c r="I1507" s="27"/>
      <c r="J1507" s="13">
        <f>H1507*I1507</f>
        <v>0</v>
      </c>
    </row>
    <row r="1508" spans="1:10" ht="12" customHeight="1">
      <c r="A1508" s="13" t="s">
        <v>7358</v>
      </c>
      <c r="B1508" s="13" t="s">
        <v>7359</v>
      </c>
      <c r="C1508" s="13" t="s">
        <v>143</v>
      </c>
      <c r="D1508" s="13" t="s">
        <v>7148</v>
      </c>
      <c r="E1508" s="13" t="s">
        <v>93</v>
      </c>
      <c r="F1508" s="13" t="s">
        <v>7360</v>
      </c>
      <c r="G1508" s="20" t="str">
        <f>HYPERLINK("https://semena-nn.ru/catalog/46/999000007989","Фото")</f>
        <v>Фото</v>
      </c>
      <c r="H1508" s="19">
        <v>115.94</v>
      </c>
      <c r="I1508" s="27"/>
      <c r="J1508" s="13">
        <f>H1508*I1508</f>
        <v>0</v>
      </c>
    </row>
    <row r="1509" spans="1:10" ht="12" customHeight="1">
      <c r="A1509" s="13" t="s">
        <v>5043</v>
      </c>
      <c r="B1509" s="13" t="s">
        <v>5044</v>
      </c>
      <c r="C1509" s="13" t="s">
        <v>143</v>
      </c>
      <c r="D1509" s="13" t="s">
        <v>5045</v>
      </c>
      <c r="E1509" s="13" t="s">
        <v>93</v>
      </c>
      <c r="F1509" s="13" t="s">
        <v>5046</v>
      </c>
      <c r="G1509" s="20" t="str">
        <f>HYPERLINK("http://semena-nn.ru/catalog/46/1307528","Фото")</f>
        <v>Фото</v>
      </c>
      <c r="H1509" s="18">
        <v>37.799999999999997</v>
      </c>
      <c r="I1509" s="27"/>
      <c r="J1509" s="13">
        <f>H1509*I1509</f>
        <v>0</v>
      </c>
    </row>
    <row r="1510" spans="1:10" ht="12" customHeight="1">
      <c r="A1510" s="13" t="s">
        <v>5047</v>
      </c>
      <c r="B1510" s="13" t="s">
        <v>5048</v>
      </c>
      <c r="C1510" s="13" t="s">
        <v>143</v>
      </c>
      <c r="D1510" s="13" t="s">
        <v>5045</v>
      </c>
      <c r="E1510" s="13" t="s">
        <v>93</v>
      </c>
      <c r="F1510" s="13" t="s">
        <v>5049</v>
      </c>
      <c r="G1510" s="20" t="str">
        <f>HYPERLINK("https://semena-nn.ru/catalog/46/999000011537","Фото")</f>
        <v>Фото</v>
      </c>
      <c r="H1510" s="18">
        <v>31.5</v>
      </c>
      <c r="I1510" s="27"/>
      <c r="J1510" s="13">
        <f>H1510*I1510</f>
        <v>0</v>
      </c>
    </row>
    <row r="1511" spans="1:10" ht="12" customHeight="1">
      <c r="A1511" s="13" t="s">
        <v>7361</v>
      </c>
      <c r="B1511" s="13" t="s">
        <v>7362</v>
      </c>
      <c r="C1511" s="13" t="s">
        <v>143</v>
      </c>
      <c r="D1511" s="13" t="s">
        <v>7148</v>
      </c>
      <c r="E1511" s="13" t="s">
        <v>93</v>
      </c>
      <c r="F1511" s="13" t="s">
        <v>7363</v>
      </c>
      <c r="G1511" s="20" t="str">
        <f>HYPERLINK("https://semena-nn.ru/catalog/46/888000001644","Фото")</f>
        <v>Фото</v>
      </c>
      <c r="H1511" s="18">
        <v>95.8</v>
      </c>
      <c r="I1511" s="27"/>
      <c r="J1511" s="13">
        <f>H1511*I1511</f>
        <v>0</v>
      </c>
    </row>
    <row r="1512" spans="1:10" ht="12" customHeight="1">
      <c r="A1512" s="13" t="s">
        <v>1674</v>
      </c>
      <c r="B1512" s="13" t="s">
        <v>1675</v>
      </c>
      <c r="C1512" s="13" t="s">
        <v>143</v>
      </c>
      <c r="D1512" s="13" t="s">
        <v>697</v>
      </c>
      <c r="E1512" s="13" t="s">
        <v>93</v>
      </c>
      <c r="F1512" s="13" t="s">
        <v>1676</v>
      </c>
      <c r="G1512" s="20" t="str">
        <f>HYPERLINK("https://semena-nn.ru/catalog/46/999000011847","Фото")</f>
        <v>Фото</v>
      </c>
      <c r="H1512" s="19">
        <v>22.85</v>
      </c>
      <c r="I1512" s="27"/>
      <c r="J1512" s="13">
        <f>H1512*I1512</f>
        <v>0</v>
      </c>
    </row>
    <row r="1513" spans="1:10" ht="12" customHeight="1">
      <c r="A1513" s="13" t="s">
        <v>1677</v>
      </c>
      <c r="B1513" s="13" t="s">
        <v>1678</v>
      </c>
      <c r="C1513" s="13" t="s">
        <v>143</v>
      </c>
      <c r="D1513" s="13" t="s">
        <v>697</v>
      </c>
      <c r="E1513" s="13" t="s">
        <v>93</v>
      </c>
      <c r="F1513" s="13" t="s">
        <v>1679</v>
      </c>
      <c r="G1513" s="20" t="str">
        <f>HYPERLINK("http://semena-nn.ru/catalog/46/1289871","Фото")</f>
        <v>Фото</v>
      </c>
      <c r="H1513" s="19">
        <v>33.25</v>
      </c>
      <c r="I1513" s="27"/>
      <c r="J1513" s="13">
        <f>H1513*I1513</f>
        <v>0</v>
      </c>
    </row>
    <row r="1514" spans="1:10" ht="12" customHeight="1">
      <c r="A1514" s="13" t="s">
        <v>1680</v>
      </c>
      <c r="B1514" s="13" t="s">
        <v>1681</v>
      </c>
      <c r="C1514" s="13" t="s">
        <v>143</v>
      </c>
      <c r="D1514" s="13" t="s">
        <v>697</v>
      </c>
      <c r="E1514" s="13" t="s">
        <v>93</v>
      </c>
      <c r="F1514" s="13" t="s">
        <v>1682</v>
      </c>
      <c r="G1514" s="20" t="str">
        <f>HYPERLINK("https://semena-nn.ru/catalog/46/105064","Фото")</f>
        <v>Фото</v>
      </c>
      <c r="H1514" s="18">
        <v>34.4</v>
      </c>
      <c r="I1514" s="27"/>
      <c r="J1514" s="13">
        <f>H1514*I1514</f>
        <v>0</v>
      </c>
    </row>
    <row r="1515" spans="1:10" ht="12" customHeight="1">
      <c r="A1515" s="13" t="s">
        <v>5050</v>
      </c>
      <c r="B1515" s="13" t="s">
        <v>5051</v>
      </c>
      <c r="C1515" s="13" t="s">
        <v>143</v>
      </c>
      <c r="D1515" s="13" t="s">
        <v>5045</v>
      </c>
      <c r="E1515" s="13" t="s">
        <v>93</v>
      </c>
      <c r="F1515" s="13" t="s">
        <v>5052</v>
      </c>
      <c r="G1515" s="20" t="str">
        <f>HYPERLINK("http://semena-nn.ru/catalog/46/80091","Фото")</f>
        <v>Фото</v>
      </c>
      <c r="H1515" s="18">
        <v>22.7</v>
      </c>
      <c r="I1515" s="27"/>
      <c r="J1515" s="13">
        <f>H1515*I1515</f>
        <v>0</v>
      </c>
    </row>
    <row r="1516" spans="1:10" ht="12" customHeight="1">
      <c r="A1516" s="13" t="s">
        <v>7050</v>
      </c>
      <c r="B1516" s="13" t="s">
        <v>7051</v>
      </c>
      <c r="C1516" s="13" t="s">
        <v>143</v>
      </c>
      <c r="D1516" s="13" t="s">
        <v>6927</v>
      </c>
      <c r="E1516" s="13" t="s">
        <v>93</v>
      </c>
      <c r="F1516" s="13" t="s">
        <v>7052</v>
      </c>
      <c r="G1516" s="20" t="str">
        <f>HYPERLINK("https://semena-nn.ru/catalog/46/1310379","Фото")</f>
        <v>Фото</v>
      </c>
      <c r="H1516" s="18">
        <v>32.9</v>
      </c>
      <c r="I1516" s="27"/>
      <c r="J1516" s="13">
        <f>H1516*I1516</f>
        <v>0</v>
      </c>
    </row>
    <row r="1517" spans="1:10" ht="12" customHeight="1">
      <c r="A1517" s="13" t="s">
        <v>8391</v>
      </c>
      <c r="B1517" s="13" t="s">
        <v>8392</v>
      </c>
      <c r="C1517" s="13" t="s">
        <v>143</v>
      </c>
      <c r="D1517" s="13" t="s">
        <v>8317</v>
      </c>
      <c r="E1517" s="13" t="s">
        <v>93</v>
      </c>
      <c r="F1517" s="13" t="s">
        <v>8393</v>
      </c>
      <c r="G1517" s="20" t="str">
        <f>HYPERLINK("https://semena-nn.ru/catalog/46/1299445","Фото")</f>
        <v>Фото</v>
      </c>
      <c r="H1517" s="18">
        <v>82.7</v>
      </c>
      <c r="I1517" s="27"/>
      <c r="J1517" s="13">
        <f>H1517*I1517</f>
        <v>0</v>
      </c>
    </row>
    <row r="1518" spans="1:10" ht="12" customHeight="1">
      <c r="A1518" s="13" t="s">
        <v>7364</v>
      </c>
      <c r="B1518" s="13" t="s">
        <v>7365</v>
      </c>
      <c r="C1518" s="13" t="s">
        <v>143</v>
      </c>
      <c r="D1518" s="13" t="s">
        <v>7148</v>
      </c>
      <c r="E1518" s="13" t="s">
        <v>93</v>
      </c>
      <c r="F1518" s="13" t="s">
        <v>7366</v>
      </c>
      <c r="G1518" s="20" t="str">
        <f>HYPERLINK("https://semena-nn.ru/catalog/46/999000013100","Фото")</f>
        <v>Фото</v>
      </c>
      <c r="H1518" s="18">
        <v>89.5</v>
      </c>
      <c r="I1518" s="27"/>
      <c r="J1518" s="13">
        <f>H1518*I1518</f>
        <v>0</v>
      </c>
    </row>
    <row r="1519" spans="1:10" ht="12" customHeight="1">
      <c r="A1519" s="13" t="s">
        <v>6303</v>
      </c>
      <c r="B1519" s="13" t="s">
        <v>6304</v>
      </c>
      <c r="C1519" s="13" t="s">
        <v>143</v>
      </c>
      <c r="D1519" s="13" t="s">
        <v>6295</v>
      </c>
      <c r="E1519" s="13" t="s">
        <v>93</v>
      </c>
      <c r="F1519" s="13" t="s">
        <v>6305</v>
      </c>
      <c r="G1519" s="20" t="str">
        <f>HYPERLINK("https://semena-nn.ru/catalog/46/1304324","Фото")</f>
        <v>Фото</v>
      </c>
      <c r="H1519" s="19">
        <v>131.25</v>
      </c>
      <c r="I1519" s="27"/>
      <c r="J1519" s="13">
        <f>H1519*I1519</f>
        <v>0</v>
      </c>
    </row>
    <row r="1520" spans="1:10" ht="12" customHeight="1">
      <c r="A1520" s="13" t="s">
        <v>6306</v>
      </c>
      <c r="B1520" s="13" t="s">
        <v>6307</v>
      </c>
      <c r="C1520" s="13" t="s">
        <v>143</v>
      </c>
      <c r="D1520" s="13" t="s">
        <v>6295</v>
      </c>
      <c r="E1520" s="13" t="s">
        <v>93</v>
      </c>
      <c r="F1520" s="13" t="s">
        <v>6308</v>
      </c>
      <c r="G1520" s="20" t="str">
        <f>HYPERLINK("https://semena-nn.ru/catalog/46/1121798","Фото")</f>
        <v>Фото</v>
      </c>
      <c r="H1520" s="15">
        <v>105</v>
      </c>
      <c r="I1520" s="27"/>
      <c r="J1520" s="13">
        <f>H1520*I1520</f>
        <v>0</v>
      </c>
    </row>
    <row r="1521" spans="1:10" ht="12" customHeight="1">
      <c r="A1521" s="13" t="s">
        <v>5314</v>
      </c>
      <c r="B1521" s="13" t="s">
        <v>5315</v>
      </c>
      <c r="C1521" s="13" t="s">
        <v>143</v>
      </c>
      <c r="D1521" s="13" t="s">
        <v>5136</v>
      </c>
      <c r="E1521" s="13" t="s">
        <v>93</v>
      </c>
      <c r="F1521" s="13" t="s">
        <v>5316</v>
      </c>
      <c r="G1521" s="20" t="str">
        <f>HYPERLINK("https://semena-nn.ru/catalog/46/1313292","Фото")</f>
        <v>Фото</v>
      </c>
      <c r="H1521" s="15">
        <v>56</v>
      </c>
      <c r="I1521" s="27"/>
      <c r="J1521" s="13">
        <f>H1521*I1521</f>
        <v>0</v>
      </c>
    </row>
    <row r="1522" spans="1:10" ht="12" customHeight="1">
      <c r="A1522" s="13" t="s">
        <v>5317</v>
      </c>
      <c r="B1522" s="13" t="s">
        <v>5318</v>
      </c>
      <c r="C1522" s="13" t="s">
        <v>143</v>
      </c>
      <c r="D1522" s="13" t="s">
        <v>5136</v>
      </c>
      <c r="E1522" s="13" t="s">
        <v>93</v>
      </c>
      <c r="F1522" s="13" t="s">
        <v>5319</v>
      </c>
      <c r="G1522" s="20" t="str">
        <f>HYPERLINK("https://semena-nn.ru/catalog/46/1313294","Фото")</f>
        <v>Фото</v>
      </c>
      <c r="H1522" s="15">
        <v>56</v>
      </c>
      <c r="I1522" s="27"/>
      <c r="J1522" s="13">
        <f>H1522*I1522</f>
        <v>0</v>
      </c>
    </row>
    <row r="1523" spans="1:10" ht="12" customHeight="1">
      <c r="A1523" s="13" t="s">
        <v>5320</v>
      </c>
      <c r="B1523" s="13" t="s">
        <v>5321</v>
      </c>
      <c r="C1523" s="13" t="s">
        <v>143</v>
      </c>
      <c r="D1523" s="13" t="s">
        <v>5136</v>
      </c>
      <c r="E1523" s="13" t="s">
        <v>93</v>
      </c>
      <c r="F1523" s="13" t="s">
        <v>5322</v>
      </c>
      <c r="G1523" s="20" t="str">
        <f>HYPERLINK("https://semena-nn.ru/catalog/46/999000013227","Фото")</f>
        <v>Фото</v>
      </c>
      <c r="H1523" s="15">
        <v>56</v>
      </c>
      <c r="I1523" s="27"/>
      <c r="J1523" s="13">
        <f>H1523*I1523</f>
        <v>0</v>
      </c>
    </row>
    <row r="1524" spans="1:10" ht="12" customHeight="1">
      <c r="A1524" s="13" t="s">
        <v>5053</v>
      </c>
      <c r="B1524" s="13" t="s">
        <v>5054</v>
      </c>
      <c r="C1524" s="13" t="s">
        <v>143</v>
      </c>
      <c r="D1524" s="13" t="s">
        <v>5045</v>
      </c>
      <c r="E1524" s="13" t="s">
        <v>93</v>
      </c>
      <c r="F1524" s="13" t="s">
        <v>5055</v>
      </c>
      <c r="G1524" s="20" t="str">
        <f>HYPERLINK("http://semena-nn.ru/catalog/46/1307529","Фото")</f>
        <v>Фото</v>
      </c>
      <c r="H1524" s="18">
        <v>37.799999999999997</v>
      </c>
      <c r="I1524" s="27"/>
      <c r="J1524" s="13">
        <f>H1524*I1524</f>
        <v>0</v>
      </c>
    </row>
    <row r="1525" spans="1:10" ht="12" customHeight="1">
      <c r="A1525" s="13" t="s">
        <v>5056</v>
      </c>
      <c r="B1525" s="13" t="s">
        <v>5057</v>
      </c>
      <c r="C1525" s="13" t="s">
        <v>143</v>
      </c>
      <c r="D1525" s="13" t="s">
        <v>5045</v>
      </c>
      <c r="E1525" s="13" t="s">
        <v>93</v>
      </c>
      <c r="F1525" s="13" t="s">
        <v>5058</v>
      </c>
      <c r="G1525" s="20" t="str">
        <f>HYPERLINK("http://semena-nn.ru/catalog/46/1125982","Фото")</f>
        <v>Фото</v>
      </c>
      <c r="H1525" s="18">
        <v>37.799999999999997</v>
      </c>
      <c r="I1525" s="27"/>
      <c r="J1525" s="13">
        <f>H1525*I1525</f>
        <v>0</v>
      </c>
    </row>
    <row r="1526" spans="1:10" ht="12" customHeight="1">
      <c r="A1526" s="13" t="s">
        <v>4139</v>
      </c>
      <c r="B1526" s="13" t="s">
        <v>4140</v>
      </c>
      <c r="C1526" s="13" t="s">
        <v>143</v>
      </c>
      <c r="D1526" s="13" t="s">
        <v>3475</v>
      </c>
      <c r="E1526" s="13" t="s">
        <v>93</v>
      </c>
      <c r="F1526" s="13" t="s">
        <v>4141</v>
      </c>
      <c r="G1526" s="20" t="str">
        <f>HYPERLINK("https://semena-nn.ru/catalog/46/1282644","Фото")</f>
        <v>Фото</v>
      </c>
      <c r="H1526" s="18">
        <v>35.299999999999997</v>
      </c>
      <c r="I1526" s="27"/>
      <c r="J1526" s="13">
        <f>H1526*I1526</f>
        <v>0</v>
      </c>
    </row>
    <row r="1527" spans="1:10" ht="12" customHeight="1">
      <c r="A1527" s="13" t="s">
        <v>8548</v>
      </c>
      <c r="B1527" s="13" t="s">
        <v>8549</v>
      </c>
      <c r="C1527" s="13" t="s">
        <v>143</v>
      </c>
      <c r="D1527" s="13" t="s">
        <v>8498</v>
      </c>
      <c r="E1527" s="13" t="s">
        <v>93</v>
      </c>
      <c r="F1527" s="13" t="s">
        <v>8550</v>
      </c>
      <c r="G1527" s="20" t="str">
        <f>HYPERLINK("http://semena-nn.ru/catalog/46/108372","Фото")</f>
        <v>Фото</v>
      </c>
      <c r="H1527" s="18">
        <v>29.3</v>
      </c>
      <c r="I1527" s="27"/>
      <c r="J1527" s="13">
        <f>H1527*I1527</f>
        <v>0</v>
      </c>
    </row>
    <row r="1528" spans="1:10" ht="12" customHeight="1">
      <c r="A1528" s="13" t="s">
        <v>7367</v>
      </c>
      <c r="B1528" s="13" t="s">
        <v>7368</v>
      </c>
      <c r="C1528" s="13" t="s">
        <v>143</v>
      </c>
      <c r="D1528" s="13" t="s">
        <v>7148</v>
      </c>
      <c r="E1528" s="13" t="s">
        <v>93</v>
      </c>
      <c r="F1528" s="13" t="s">
        <v>7369</v>
      </c>
      <c r="G1528" s="20" t="str">
        <f>HYPERLINK("http://semena-nn.ru/catalog/46/1313049","Фото")</f>
        <v>Фото</v>
      </c>
      <c r="H1528" s="18">
        <v>75.599999999999994</v>
      </c>
      <c r="I1528" s="27"/>
      <c r="J1528" s="13">
        <f>H1528*I1528</f>
        <v>0</v>
      </c>
    </row>
    <row r="1529" spans="1:10" ht="12" customHeight="1">
      <c r="A1529" s="13" t="s">
        <v>7370</v>
      </c>
      <c r="B1529" s="13" t="s">
        <v>7371</v>
      </c>
      <c r="C1529" s="13" t="s">
        <v>143</v>
      </c>
      <c r="D1529" s="13" t="s">
        <v>7148</v>
      </c>
      <c r="E1529" s="13" t="s">
        <v>93</v>
      </c>
      <c r="F1529" s="13" t="s">
        <v>7372</v>
      </c>
      <c r="G1529" s="20" t="str">
        <f>HYPERLINK("http://semena-nn.ru/catalog/46/1313753","Фото")</f>
        <v>Фото</v>
      </c>
      <c r="H1529" s="18">
        <v>68.5</v>
      </c>
      <c r="I1529" s="27"/>
      <c r="J1529" s="13">
        <f>H1529*I1529</f>
        <v>0</v>
      </c>
    </row>
    <row r="1530" spans="1:10" ht="12" customHeight="1">
      <c r="A1530" s="13" t="s">
        <v>6542</v>
      </c>
      <c r="B1530" s="13" t="s">
        <v>6543</v>
      </c>
      <c r="C1530" s="13" t="s">
        <v>143</v>
      </c>
      <c r="D1530" s="13" t="s">
        <v>87</v>
      </c>
      <c r="E1530" s="13" t="s">
        <v>93</v>
      </c>
      <c r="F1530" s="17" t="s">
        <v>6544</v>
      </c>
      <c r="G1530" s="20" t="str">
        <f>HYPERLINK("http://semena-nn.ru/catalog/46/1304533","Фото")</f>
        <v>Фото</v>
      </c>
      <c r="H1530" s="19">
        <v>21.85</v>
      </c>
      <c r="I1530" s="27"/>
      <c r="J1530" s="13">
        <f>H1530*I1530</f>
        <v>0</v>
      </c>
    </row>
    <row r="1531" spans="1:10" ht="12" customHeight="1">
      <c r="A1531" s="13" t="s">
        <v>1683</v>
      </c>
      <c r="B1531" s="13" t="s">
        <v>1684</v>
      </c>
      <c r="C1531" s="13" t="s">
        <v>143</v>
      </c>
      <c r="D1531" s="13" t="s">
        <v>697</v>
      </c>
      <c r="E1531" s="13" t="s">
        <v>93</v>
      </c>
      <c r="F1531" s="13" t="s">
        <v>1685</v>
      </c>
      <c r="G1531" s="20" t="str">
        <f>HYPERLINK("http://semena-nn.ru/catalog/46/1307339","Фото")</f>
        <v>Фото</v>
      </c>
      <c r="H1531" s="19">
        <v>25.15</v>
      </c>
      <c r="I1531" s="27"/>
      <c r="J1531" s="13">
        <f>H1531*I1531</f>
        <v>0</v>
      </c>
    </row>
    <row r="1532" spans="1:10" ht="12" customHeight="1">
      <c r="A1532" s="13" t="s">
        <v>4142</v>
      </c>
      <c r="B1532" s="13" t="s">
        <v>4143</v>
      </c>
      <c r="C1532" s="13" t="s">
        <v>143</v>
      </c>
      <c r="D1532" s="13" t="s">
        <v>3475</v>
      </c>
      <c r="E1532" s="13" t="s">
        <v>93</v>
      </c>
      <c r="F1532" s="13" t="s">
        <v>4144</v>
      </c>
      <c r="G1532" s="20" t="str">
        <f>HYPERLINK("https://semena-nn.ru/catalog/46/999000012787","Фото")</f>
        <v>Фото</v>
      </c>
      <c r="H1532" s="19">
        <v>17.350000000000001</v>
      </c>
      <c r="I1532" s="27"/>
      <c r="J1532" s="13">
        <f>H1532*I1532</f>
        <v>0</v>
      </c>
    </row>
    <row r="1533" spans="1:10" ht="12" customHeight="1">
      <c r="A1533" s="13" t="s">
        <v>6309</v>
      </c>
      <c r="B1533" s="13" t="s">
        <v>6310</v>
      </c>
      <c r="C1533" s="13" t="s">
        <v>143</v>
      </c>
      <c r="D1533" s="13" t="s">
        <v>6295</v>
      </c>
      <c r="E1533" s="13" t="s">
        <v>93</v>
      </c>
      <c r="F1533" s="13" t="s">
        <v>6311</v>
      </c>
      <c r="G1533" s="20" t="str">
        <f>HYPERLINK("http://semena-nn.ru/catalog/46/999000003787","Фото")</f>
        <v>Фото</v>
      </c>
      <c r="H1533" s="18">
        <v>115.5</v>
      </c>
      <c r="I1533" s="27"/>
      <c r="J1533" s="13">
        <f>H1533*I1533</f>
        <v>0</v>
      </c>
    </row>
    <row r="1534" spans="1:10" ht="12" customHeight="1">
      <c r="A1534" s="13" t="s">
        <v>145</v>
      </c>
      <c r="B1534" s="13" t="s">
        <v>146</v>
      </c>
      <c r="C1534" s="13" t="s">
        <v>143</v>
      </c>
      <c r="D1534" s="13" t="s">
        <v>92</v>
      </c>
      <c r="E1534" s="13" t="s">
        <v>93</v>
      </c>
      <c r="F1534" s="13" t="s">
        <v>147</v>
      </c>
      <c r="G1534" s="20" t="str">
        <f>HYPERLINK("https://semena-nn.ru/catalog/46/888000000192","Фото")</f>
        <v>Фото</v>
      </c>
      <c r="H1534" s="18">
        <v>62.7</v>
      </c>
      <c r="I1534" s="27"/>
      <c r="J1534" s="13">
        <f>H1534*I1534</f>
        <v>0</v>
      </c>
    </row>
    <row r="1535" spans="1:10" ht="12" customHeight="1">
      <c r="A1535" s="13" t="s">
        <v>7053</v>
      </c>
      <c r="B1535" s="13" t="s">
        <v>7054</v>
      </c>
      <c r="C1535" s="13" t="s">
        <v>143</v>
      </c>
      <c r="D1535" s="13" t="s">
        <v>6927</v>
      </c>
      <c r="E1535" s="13" t="s">
        <v>93</v>
      </c>
      <c r="F1535" s="13" t="s">
        <v>7055</v>
      </c>
      <c r="G1535" s="20" t="str">
        <f>HYPERLINK("https://semena-nn.ru/catalog/46/999000020040","Фото")</f>
        <v>Фото</v>
      </c>
      <c r="H1535" s="18">
        <v>37.4</v>
      </c>
      <c r="I1535" s="27"/>
      <c r="J1535" s="13">
        <f>H1535*I1535</f>
        <v>0</v>
      </c>
    </row>
    <row r="1536" spans="1:10" ht="12" customHeight="1">
      <c r="A1536" s="13" t="s">
        <v>5059</v>
      </c>
      <c r="B1536" s="13" t="s">
        <v>5060</v>
      </c>
      <c r="C1536" s="13" t="s">
        <v>143</v>
      </c>
      <c r="D1536" s="13" t="s">
        <v>5045</v>
      </c>
      <c r="E1536" s="13" t="s">
        <v>93</v>
      </c>
      <c r="F1536" s="13" t="s">
        <v>5061</v>
      </c>
      <c r="G1536" s="20" t="str">
        <f>HYPERLINK("http://semena-nn.ru/catalog/46/92551","Фото")</f>
        <v>Фото</v>
      </c>
      <c r="H1536" s="18">
        <v>25.2</v>
      </c>
      <c r="I1536" s="27"/>
      <c r="J1536" s="13">
        <f>H1536*I1536</f>
        <v>0</v>
      </c>
    </row>
    <row r="1537" spans="1:10" ht="12" customHeight="1">
      <c r="A1537" s="13" t="s">
        <v>8394</v>
      </c>
      <c r="B1537" s="13" t="s">
        <v>8395</v>
      </c>
      <c r="C1537" s="13" t="s">
        <v>143</v>
      </c>
      <c r="D1537" s="13" t="s">
        <v>8317</v>
      </c>
      <c r="E1537" s="13" t="s">
        <v>93</v>
      </c>
      <c r="F1537" s="13" t="s">
        <v>8396</v>
      </c>
      <c r="G1537" s="20" t="str">
        <f>HYPERLINK("https://semena-nn.ru/catalog/46/888000000715","Фото")</f>
        <v>Фото</v>
      </c>
      <c r="H1537" s="15">
        <v>220</v>
      </c>
      <c r="I1537" s="27"/>
      <c r="J1537" s="13">
        <f>H1537*I1537</f>
        <v>0</v>
      </c>
    </row>
    <row r="1538" spans="1:10" ht="12" customHeight="1">
      <c r="A1538" s="13" t="s">
        <v>5323</v>
      </c>
      <c r="B1538" s="13" t="s">
        <v>5324</v>
      </c>
      <c r="C1538" s="13" t="s">
        <v>143</v>
      </c>
      <c r="D1538" s="13" t="s">
        <v>5136</v>
      </c>
      <c r="E1538" s="13" t="s">
        <v>93</v>
      </c>
      <c r="F1538" s="13" t="s">
        <v>5325</v>
      </c>
      <c r="G1538" s="20" t="str">
        <f>HYPERLINK("https://semena-nn.ru/catalog/46/999000020409","Фото")</f>
        <v>Фото</v>
      </c>
      <c r="H1538" s="15">
        <v>53</v>
      </c>
      <c r="I1538" s="27"/>
      <c r="J1538" s="13">
        <f>H1538*I1538</f>
        <v>0</v>
      </c>
    </row>
    <row r="1539" spans="1:10" ht="12" customHeight="1">
      <c r="A1539" s="13" t="s">
        <v>8551</v>
      </c>
      <c r="B1539" s="13" t="s">
        <v>8552</v>
      </c>
      <c r="C1539" s="13" t="s">
        <v>143</v>
      </c>
      <c r="D1539" s="13" t="s">
        <v>8498</v>
      </c>
      <c r="E1539" s="13" t="s">
        <v>93</v>
      </c>
      <c r="F1539" s="13" t="s">
        <v>8553</v>
      </c>
      <c r="G1539" s="20" t="str">
        <f>HYPERLINK("https://semena-nn.ru/catalog/46/999000020140","Фото")</f>
        <v>Фото</v>
      </c>
      <c r="H1539" s="19">
        <v>20.85</v>
      </c>
      <c r="I1539" s="27"/>
      <c r="J1539" s="13">
        <f>H1539*I1539</f>
        <v>0</v>
      </c>
    </row>
    <row r="1540" spans="1:10" ht="12" customHeight="1">
      <c r="A1540" s="13" t="s">
        <v>5911</v>
      </c>
      <c r="B1540" s="13" t="s">
        <v>5912</v>
      </c>
      <c r="C1540" s="13" t="s">
        <v>143</v>
      </c>
      <c r="D1540" s="13" t="s">
        <v>5834</v>
      </c>
      <c r="E1540" s="13" t="s">
        <v>93</v>
      </c>
      <c r="F1540" s="13" t="s">
        <v>5913</v>
      </c>
      <c r="G1540" s="20" t="str">
        <f>HYPERLINK("https://semena-nn.ru/catalog/46/888000001553","Фото")</f>
        <v>Фото</v>
      </c>
      <c r="H1540" s="19">
        <v>13.76</v>
      </c>
      <c r="I1540" s="27"/>
      <c r="J1540" s="13">
        <f>H1540*I1540</f>
        <v>0</v>
      </c>
    </row>
    <row r="1541" spans="1:10" ht="12" customHeight="1">
      <c r="A1541" s="13" t="s">
        <v>1686</v>
      </c>
      <c r="B1541" s="13" t="s">
        <v>1687</v>
      </c>
      <c r="C1541" s="13" t="s">
        <v>143</v>
      </c>
      <c r="D1541" s="13" t="s">
        <v>697</v>
      </c>
      <c r="E1541" s="13" t="s">
        <v>93</v>
      </c>
      <c r="F1541" s="13" t="s">
        <v>1688</v>
      </c>
      <c r="G1541" s="20" t="str">
        <f>HYPERLINK("https://semena-nn.ru/catalog/46/999000011010","Фото")</f>
        <v>Фото</v>
      </c>
      <c r="H1541" s="19">
        <v>25.15</v>
      </c>
      <c r="I1541" s="27"/>
      <c r="J1541" s="13">
        <f>H1541*I1541</f>
        <v>0</v>
      </c>
    </row>
    <row r="1542" spans="1:10" ht="12" customHeight="1">
      <c r="A1542" s="13" t="s">
        <v>7056</v>
      </c>
      <c r="B1542" s="13" t="s">
        <v>7057</v>
      </c>
      <c r="C1542" s="13" t="s">
        <v>143</v>
      </c>
      <c r="D1542" s="13" t="s">
        <v>6927</v>
      </c>
      <c r="E1542" s="13" t="s">
        <v>93</v>
      </c>
      <c r="F1542" s="13" t="s">
        <v>7058</v>
      </c>
      <c r="G1542" s="20" t="str">
        <f>HYPERLINK("https://semena-nn.ru/catalog/46/999000010168","Фото")</f>
        <v>Фото</v>
      </c>
      <c r="H1542" s="18">
        <v>42.2</v>
      </c>
      <c r="I1542" s="27"/>
      <c r="J1542" s="13">
        <f>H1542*I1542</f>
        <v>0</v>
      </c>
    </row>
    <row r="1543" spans="1:10" ht="12" customHeight="1">
      <c r="A1543" s="13" t="s">
        <v>4145</v>
      </c>
      <c r="B1543" s="13" t="s">
        <v>4146</v>
      </c>
      <c r="C1543" s="13" t="s">
        <v>143</v>
      </c>
      <c r="D1543" s="13" t="s">
        <v>3475</v>
      </c>
      <c r="E1543" s="13" t="s">
        <v>93</v>
      </c>
      <c r="F1543" s="13" t="s">
        <v>4147</v>
      </c>
      <c r="G1543" s="20" t="str">
        <f>HYPERLINK("http://semena-nn.ru/catalog/46/7008","Фото")</f>
        <v>Фото</v>
      </c>
      <c r="H1543" s="19">
        <v>31.75</v>
      </c>
      <c r="I1543" s="27"/>
      <c r="J1543" s="13">
        <f>H1543*I1543</f>
        <v>0</v>
      </c>
    </row>
    <row r="1544" spans="1:10" ht="12" customHeight="1">
      <c r="A1544" s="13" t="s">
        <v>5062</v>
      </c>
      <c r="B1544" s="13" t="s">
        <v>5063</v>
      </c>
      <c r="C1544" s="13" t="s">
        <v>143</v>
      </c>
      <c r="D1544" s="13" t="s">
        <v>5045</v>
      </c>
      <c r="E1544" s="13" t="s">
        <v>93</v>
      </c>
      <c r="F1544" s="13" t="s">
        <v>5064</v>
      </c>
      <c r="G1544" s="20" t="str">
        <f>HYPERLINK("https://semena-nn.ru/catalog/46/999000011536","Фото")</f>
        <v>Фото</v>
      </c>
      <c r="H1544" s="18">
        <v>31.5</v>
      </c>
      <c r="I1544" s="27"/>
      <c r="J1544" s="13">
        <f>H1544*I1544</f>
        <v>0</v>
      </c>
    </row>
    <row r="1545" spans="1:10" ht="12" customHeight="1">
      <c r="A1545" s="13" t="s">
        <v>4148</v>
      </c>
      <c r="B1545" s="13" t="s">
        <v>4149</v>
      </c>
      <c r="C1545" s="13" t="s">
        <v>143</v>
      </c>
      <c r="D1545" s="13" t="s">
        <v>3475</v>
      </c>
      <c r="E1545" s="13" t="s">
        <v>93</v>
      </c>
      <c r="F1545" s="13" t="s">
        <v>4150</v>
      </c>
      <c r="G1545" s="20" t="str">
        <f>HYPERLINK("http://semena-nn.ru/catalog/46/7009","Фото")</f>
        <v>Фото</v>
      </c>
      <c r="H1545" s="18">
        <v>54.1</v>
      </c>
      <c r="I1545" s="27"/>
      <c r="J1545" s="13">
        <f>H1545*I1545</f>
        <v>0</v>
      </c>
    </row>
    <row r="1546" spans="1:10" ht="12" customHeight="1">
      <c r="A1546" s="13" t="s">
        <v>4151</v>
      </c>
      <c r="B1546" s="13" t="s">
        <v>4152</v>
      </c>
      <c r="C1546" s="13" t="s">
        <v>143</v>
      </c>
      <c r="D1546" s="13" t="s">
        <v>3475</v>
      </c>
      <c r="E1546" s="13" t="s">
        <v>93</v>
      </c>
      <c r="F1546" s="13" t="s">
        <v>4153</v>
      </c>
      <c r="G1546" s="20" t="str">
        <f>HYPERLINK("http://semena-nn.ru/catalog/46/109962","Фото")</f>
        <v>Фото</v>
      </c>
      <c r="H1546" s="18">
        <v>73.599999999999994</v>
      </c>
      <c r="I1546" s="27"/>
      <c r="J1546" s="13">
        <f>H1546*I1546</f>
        <v>0</v>
      </c>
    </row>
    <row r="1547" spans="1:10" ht="12" customHeight="1">
      <c r="A1547" s="13" t="s">
        <v>7373</v>
      </c>
      <c r="B1547" s="13" t="s">
        <v>7374</v>
      </c>
      <c r="C1547" s="13" t="s">
        <v>143</v>
      </c>
      <c r="D1547" s="13" t="s">
        <v>7148</v>
      </c>
      <c r="E1547" s="13" t="s">
        <v>93</v>
      </c>
      <c r="F1547" s="13" t="s">
        <v>7375</v>
      </c>
      <c r="G1547" s="20" t="str">
        <f>HYPERLINK("https://semena-nn.ru/catalog/46/999000021295","Фото")</f>
        <v>Фото</v>
      </c>
      <c r="H1547" s="18">
        <v>70.599999999999994</v>
      </c>
      <c r="I1547" s="27"/>
      <c r="J1547" s="13">
        <f>H1547*I1547</f>
        <v>0</v>
      </c>
    </row>
    <row r="1548" spans="1:10" ht="12" customHeight="1">
      <c r="A1548" s="13" t="s">
        <v>439</v>
      </c>
      <c r="B1548" s="13" t="s">
        <v>440</v>
      </c>
      <c r="C1548" s="13" t="s">
        <v>143</v>
      </c>
      <c r="D1548" s="13" t="s">
        <v>28</v>
      </c>
      <c r="E1548" s="13" t="s">
        <v>93</v>
      </c>
      <c r="F1548" s="13" t="s">
        <v>441</v>
      </c>
      <c r="G1548" s="20" t="str">
        <f>HYPERLINK("https://semena-nn.ru/catalog/46/999000011709","Фото")</f>
        <v>Фото</v>
      </c>
      <c r="H1548" s="19">
        <v>28.77</v>
      </c>
      <c r="I1548" s="27"/>
      <c r="J1548" s="13">
        <f>H1548*I1548</f>
        <v>0</v>
      </c>
    </row>
    <row r="1549" spans="1:10" ht="12" customHeight="1">
      <c r="A1549" s="13" t="s">
        <v>1689</v>
      </c>
      <c r="B1549" s="13" t="s">
        <v>1690</v>
      </c>
      <c r="C1549" s="13" t="s">
        <v>143</v>
      </c>
      <c r="D1549" s="13" t="s">
        <v>697</v>
      </c>
      <c r="E1549" s="13" t="s">
        <v>93</v>
      </c>
      <c r="F1549" s="13" t="s">
        <v>1691</v>
      </c>
      <c r="G1549" s="20" t="str">
        <f>HYPERLINK("https://semena-nn.ru/catalog/46/999000012065","Фото")</f>
        <v>Фото</v>
      </c>
      <c r="H1549" s="19">
        <v>22.85</v>
      </c>
      <c r="I1549" s="27"/>
      <c r="J1549" s="13">
        <f>H1549*I1549</f>
        <v>0</v>
      </c>
    </row>
    <row r="1550" spans="1:10" ht="12" customHeight="1">
      <c r="A1550" s="13" t="s">
        <v>5326</v>
      </c>
      <c r="B1550" s="13" t="s">
        <v>5327</v>
      </c>
      <c r="C1550" s="13" t="s">
        <v>143</v>
      </c>
      <c r="D1550" s="13" t="s">
        <v>5136</v>
      </c>
      <c r="E1550" s="13" t="s">
        <v>93</v>
      </c>
      <c r="F1550" s="13" t="s">
        <v>5328</v>
      </c>
      <c r="G1550" s="20" t="str">
        <f>HYPERLINK("https://semena-nn.ru/catalog/46/888000000123","Фото")</f>
        <v>Фото</v>
      </c>
      <c r="H1550" s="15">
        <v>56</v>
      </c>
      <c r="I1550" s="27"/>
      <c r="J1550" s="13">
        <f>H1550*I1550</f>
        <v>0</v>
      </c>
    </row>
    <row r="1551" spans="1:10" ht="12" customHeight="1">
      <c r="A1551" s="13" t="s">
        <v>7376</v>
      </c>
      <c r="B1551" s="13" t="s">
        <v>7377</v>
      </c>
      <c r="C1551" s="13" t="s">
        <v>143</v>
      </c>
      <c r="D1551" s="13" t="s">
        <v>7148</v>
      </c>
      <c r="E1551" s="13" t="s">
        <v>93</v>
      </c>
      <c r="F1551" s="13" t="s">
        <v>7378</v>
      </c>
      <c r="G1551" s="20" t="str">
        <f>HYPERLINK("https://semena-nn.ru/catalog/46/999000007896","Фото")</f>
        <v>Фото</v>
      </c>
      <c r="H1551" s="18">
        <v>85.7</v>
      </c>
      <c r="I1551" s="27"/>
      <c r="J1551" s="13">
        <f>H1551*I1551</f>
        <v>0</v>
      </c>
    </row>
    <row r="1552" spans="1:10" ht="12" customHeight="1">
      <c r="A1552" s="13" t="s">
        <v>6545</v>
      </c>
      <c r="B1552" s="13" t="s">
        <v>6546</v>
      </c>
      <c r="C1552" s="13" t="s">
        <v>143</v>
      </c>
      <c r="D1552" s="13" t="s">
        <v>87</v>
      </c>
      <c r="E1552" s="13" t="s">
        <v>93</v>
      </c>
      <c r="F1552" s="13" t="s">
        <v>6547</v>
      </c>
      <c r="G1552" s="20" t="str">
        <f>HYPERLINK("https://semena-nn.ru/catalog/46/999000020001","Фото")</f>
        <v>Фото</v>
      </c>
      <c r="H1552" s="19">
        <v>23.95</v>
      </c>
      <c r="I1552" s="27"/>
      <c r="J1552" s="13">
        <f>H1552*I1552</f>
        <v>0</v>
      </c>
    </row>
    <row r="1553" spans="1:10" ht="12" customHeight="1">
      <c r="A1553" s="13" t="s">
        <v>1692</v>
      </c>
      <c r="B1553" s="13" t="s">
        <v>1693</v>
      </c>
      <c r="C1553" s="13" t="s">
        <v>143</v>
      </c>
      <c r="D1553" s="13" t="s">
        <v>697</v>
      </c>
      <c r="E1553" s="13" t="s">
        <v>93</v>
      </c>
      <c r="F1553" s="13" t="s">
        <v>1694</v>
      </c>
      <c r="G1553" s="20" t="str">
        <f>HYPERLINK("http://semena-nn.ru/catalog/46/1299538","Фото")</f>
        <v>Фото</v>
      </c>
      <c r="H1553" s="18">
        <v>37.299999999999997</v>
      </c>
      <c r="I1553" s="27"/>
      <c r="J1553" s="13">
        <f>H1553*I1553</f>
        <v>0</v>
      </c>
    </row>
    <row r="1554" spans="1:10" ht="12" customHeight="1">
      <c r="A1554" s="13" t="s">
        <v>8397</v>
      </c>
      <c r="B1554" s="13" t="s">
        <v>8398</v>
      </c>
      <c r="C1554" s="13" t="s">
        <v>143</v>
      </c>
      <c r="D1554" s="13" t="s">
        <v>8317</v>
      </c>
      <c r="E1554" s="13" t="s">
        <v>93</v>
      </c>
      <c r="F1554" s="13" t="s">
        <v>8399</v>
      </c>
      <c r="G1554" s="20" t="str">
        <f>HYPERLINK("https://semena-nn.ru/catalog/46/1299448","Фото")</f>
        <v>Фото</v>
      </c>
      <c r="H1554" s="18">
        <v>82.7</v>
      </c>
      <c r="I1554" s="27"/>
      <c r="J1554" s="13">
        <f>H1554*I1554</f>
        <v>0</v>
      </c>
    </row>
    <row r="1555" spans="1:10" ht="12" customHeight="1">
      <c r="A1555" s="13" t="s">
        <v>7379</v>
      </c>
      <c r="B1555" s="13" t="s">
        <v>7380</v>
      </c>
      <c r="C1555" s="13" t="s">
        <v>143</v>
      </c>
      <c r="D1555" s="13" t="s">
        <v>7148</v>
      </c>
      <c r="E1555" s="13" t="s">
        <v>93</v>
      </c>
      <c r="F1555" s="13" t="s">
        <v>7381</v>
      </c>
      <c r="G1555" s="20" t="str">
        <f>HYPERLINK("http://semena-nn.ru/catalog/46/1313756","Фото")</f>
        <v>Фото</v>
      </c>
      <c r="H1555" s="18">
        <v>65.5</v>
      </c>
      <c r="I1555" s="27"/>
      <c r="J1555" s="13">
        <f>H1555*I1555</f>
        <v>0</v>
      </c>
    </row>
    <row r="1556" spans="1:10" ht="12" customHeight="1">
      <c r="A1556" s="13" t="s">
        <v>5065</v>
      </c>
      <c r="B1556" s="13" t="s">
        <v>5066</v>
      </c>
      <c r="C1556" s="13" t="s">
        <v>143</v>
      </c>
      <c r="D1556" s="13" t="s">
        <v>5045</v>
      </c>
      <c r="E1556" s="13" t="s">
        <v>93</v>
      </c>
      <c r="F1556" s="13" t="s">
        <v>5067</v>
      </c>
      <c r="G1556" s="20" t="str">
        <f>HYPERLINK("http://semena-nn.ru/catalog/46/97041","Фото")</f>
        <v>Фото</v>
      </c>
      <c r="H1556" s="18">
        <v>31.5</v>
      </c>
      <c r="I1556" s="27"/>
      <c r="J1556" s="13">
        <f>H1556*I1556</f>
        <v>0</v>
      </c>
    </row>
    <row r="1557" spans="1:10" ht="12" customHeight="1">
      <c r="A1557" s="13" t="s">
        <v>4154</v>
      </c>
      <c r="B1557" s="13" t="s">
        <v>4155</v>
      </c>
      <c r="C1557" s="13" t="s">
        <v>143</v>
      </c>
      <c r="D1557" s="13" t="s">
        <v>3475</v>
      </c>
      <c r="E1557" s="13" t="s">
        <v>93</v>
      </c>
      <c r="F1557" s="13" t="s">
        <v>4156</v>
      </c>
      <c r="G1557" s="20" t="str">
        <f>HYPERLINK("http://semena-nn.ru/catalog/46/1307584","Фото")</f>
        <v>Фото</v>
      </c>
      <c r="H1557" s="18">
        <v>43.5</v>
      </c>
      <c r="I1557" s="27"/>
      <c r="J1557" s="13">
        <f>H1557*I1557</f>
        <v>0</v>
      </c>
    </row>
    <row r="1558" spans="1:10" ht="12" customHeight="1">
      <c r="A1558" s="13" t="s">
        <v>4157</v>
      </c>
      <c r="B1558" s="13" t="s">
        <v>4158</v>
      </c>
      <c r="C1558" s="13" t="s">
        <v>143</v>
      </c>
      <c r="D1558" s="13" t="s">
        <v>3475</v>
      </c>
      <c r="E1558" s="13" t="s">
        <v>93</v>
      </c>
      <c r="F1558" s="13" t="s">
        <v>4156</v>
      </c>
      <c r="G1558" s="20" t="str">
        <f>HYPERLINK("http://semena-nn.ru/catalog/46/999000000935","Фото")</f>
        <v>Фото</v>
      </c>
      <c r="H1558" s="18">
        <v>64.099999999999994</v>
      </c>
      <c r="I1558" s="27"/>
      <c r="J1558" s="13">
        <f>H1558*I1558</f>
        <v>0</v>
      </c>
    </row>
    <row r="1559" spans="1:10" ht="12" customHeight="1">
      <c r="A1559" s="13" t="s">
        <v>7382</v>
      </c>
      <c r="B1559" s="13" t="s">
        <v>7383</v>
      </c>
      <c r="C1559" s="13" t="s">
        <v>143</v>
      </c>
      <c r="D1559" s="13" t="s">
        <v>7148</v>
      </c>
      <c r="E1559" s="13" t="s">
        <v>93</v>
      </c>
      <c r="F1559" s="13" t="s">
        <v>7384</v>
      </c>
      <c r="G1559" s="20" t="str">
        <f>HYPERLINK("https://semena-nn.ru/catalog/46/999000005868","Фото")</f>
        <v>Фото</v>
      </c>
      <c r="H1559" s="18">
        <v>136.1</v>
      </c>
      <c r="I1559" s="27"/>
      <c r="J1559" s="13">
        <f>H1559*I1559</f>
        <v>0</v>
      </c>
    </row>
    <row r="1560" spans="1:10" ht="12" customHeight="1">
      <c r="A1560" s="13" t="s">
        <v>4159</v>
      </c>
      <c r="B1560" s="13" t="s">
        <v>4160</v>
      </c>
      <c r="C1560" s="13" t="s">
        <v>143</v>
      </c>
      <c r="D1560" s="13" t="s">
        <v>3475</v>
      </c>
      <c r="E1560" s="13" t="s">
        <v>93</v>
      </c>
      <c r="F1560" s="13" t="s">
        <v>4161</v>
      </c>
      <c r="G1560" s="20" t="str">
        <f>HYPERLINK("http://semena-nn.ru/catalog/46/7010","Фото")</f>
        <v>Фото</v>
      </c>
      <c r="H1560" s="19">
        <v>31.75</v>
      </c>
      <c r="I1560" s="27"/>
      <c r="J1560" s="13">
        <f>H1560*I1560</f>
        <v>0</v>
      </c>
    </row>
    <row r="1561" spans="1:10" ht="12" customHeight="1">
      <c r="A1561" s="13" t="s">
        <v>4162</v>
      </c>
      <c r="B1561" s="13" t="s">
        <v>4163</v>
      </c>
      <c r="C1561" s="13" t="s">
        <v>143</v>
      </c>
      <c r="D1561" s="13" t="s">
        <v>3475</v>
      </c>
      <c r="E1561" s="13" t="s">
        <v>93</v>
      </c>
      <c r="F1561" s="13" t="s">
        <v>4164</v>
      </c>
      <c r="G1561" s="20" t="str">
        <f>HYPERLINK("https://semena-nn.ru/catalog/46/104352","Фото")</f>
        <v>Фото</v>
      </c>
      <c r="H1561" s="18">
        <v>46.3</v>
      </c>
      <c r="I1561" s="27"/>
      <c r="J1561" s="13">
        <f>H1561*I1561</f>
        <v>0</v>
      </c>
    </row>
    <row r="1562" spans="1:10" ht="12" customHeight="1">
      <c r="A1562" s="13" t="s">
        <v>4165</v>
      </c>
      <c r="B1562" s="13" t="s">
        <v>4166</v>
      </c>
      <c r="C1562" s="13" t="s">
        <v>143</v>
      </c>
      <c r="D1562" s="13" t="s">
        <v>3475</v>
      </c>
      <c r="E1562" s="13" t="s">
        <v>93</v>
      </c>
      <c r="F1562" s="13" t="s">
        <v>4167</v>
      </c>
      <c r="G1562" s="20" t="str">
        <f>HYPERLINK("https://semena-nn.ru/catalog/46/91633","Фото")</f>
        <v>Фото</v>
      </c>
      <c r="H1562" s="18">
        <v>25.9</v>
      </c>
      <c r="I1562" s="27"/>
      <c r="J1562" s="13">
        <f>H1562*I1562</f>
        <v>0</v>
      </c>
    </row>
    <row r="1563" spans="1:10" ht="12" customHeight="1">
      <c r="A1563" s="13" t="s">
        <v>7059</v>
      </c>
      <c r="B1563" s="13" t="s">
        <v>7060</v>
      </c>
      <c r="C1563" s="13" t="s">
        <v>143</v>
      </c>
      <c r="D1563" s="13" t="s">
        <v>6927</v>
      </c>
      <c r="E1563" s="13" t="s">
        <v>93</v>
      </c>
      <c r="F1563" s="13" t="s">
        <v>7061</v>
      </c>
      <c r="G1563" s="20" t="str">
        <f>HYPERLINK("http://semena-nn.ru/catalog/46/1310405","Фото")</f>
        <v>Фото</v>
      </c>
      <c r="H1563" s="18">
        <v>28.5</v>
      </c>
      <c r="I1563" s="27"/>
      <c r="J1563" s="13">
        <f>H1563*I1563</f>
        <v>0</v>
      </c>
    </row>
    <row r="1564" spans="1:10" ht="12" customHeight="1">
      <c r="A1564" s="13" t="s">
        <v>8554</v>
      </c>
      <c r="B1564" s="13" t="s">
        <v>8555</v>
      </c>
      <c r="C1564" s="13" t="s">
        <v>143</v>
      </c>
      <c r="D1564" s="13" t="s">
        <v>8498</v>
      </c>
      <c r="E1564" s="13" t="s">
        <v>93</v>
      </c>
      <c r="F1564" s="13" t="s">
        <v>8556</v>
      </c>
      <c r="G1564" s="20" t="str">
        <f>HYPERLINK("https://semena-nn.ru/catalog/46/999000007950","Фото")</f>
        <v>Фото</v>
      </c>
      <c r="H1564" s="19">
        <v>21.55</v>
      </c>
      <c r="I1564" s="27"/>
      <c r="J1564" s="13">
        <f>H1564*I1564</f>
        <v>0</v>
      </c>
    </row>
    <row r="1565" spans="1:10" ht="12" customHeight="1">
      <c r="A1565" s="13" t="s">
        <v>442</v>
      </c>
      <c r="B1565" s="13" t="s">
        <v>443</v>
      </c>
      <c r="C1565" s="13" t="s">
        <v>143</v>
      </c>
      <c r="D1565" s="13" t="s">
        <v>28</v>
      </c>
      <c r="E1565" s="13" t="s">
        <v>93</v>
      </c>
      <c r="F1565" s="13" t="s">
        <v>444</v>
      </c>
      <c r="G1565" s="20" t="str">
        <f>HYPERLINK("https://semena-nn.ru/catalog/46/999000011710","Фото")</f>
        <v>Фото</v>
      </c>
      <c r="H1565" s="18">
        <v>35.700000000000003</v>
      </c>
      <c r="I1565" s="27"/>
      <c r="J1565" s="13">
        <f>H1565*I1565</f>
        <v>0</v>
      </c>
    </row>
    <row r="1566" spans="1:10" ht="12" customHeight="1">
      <c r="A1566" s="13" t="s">
        <v>7385</v>
      </c>
      <c r="B1566" s="13" t="s">
        <v>7386</v>
      </c>
      <c r="C1566" s="13" t="s">
        <v>143</v>
      </c>
      <c r="D1566" s="13" t="s">
        <v>7148</v>
      </c>
      <c r="E1566" s="13" t="s">
        <v>93</v>
      </c>
      <c r="F1566" s="13" t="s">
        <v>7387</v>
      </c>
      <c r="G1566" s="20" t="str">
        <f>HYPERLINK("https://semena-nn.ru/catalog/46/888000007467","Фото")</f>
        <v>Фото</v>
      </c>
      <c r="H1566" s="18">
        <v>59.2</v>
      </c>
      <c r="I1566" s="27"/>
      <c r="J1566" s="13">
        <f>H1566*I1566</f>
        <v>0</v>
      </c>
    </row>
    <row r="1567" spans="1:10" ht="12" customHeight="1">
      <c r="A1567" s="13" t="s">
        <v>7388</v>
      </c>
      <c r="B1567" s="13" t="s">
        <v>7389</v>
      </c>
      <c r="C1567" s="13" t="s">
        <v>143</v>
      </c>
      <c r="D1567" s="13" t="s">
        <v>7148</v>
      </c>
      <c r="E1567" s="13" t="s">
        <v>93</v>
      </c>
      <c r="F1567" s="13" t="s">
        <v>7390</v>
      </c>
      <c r="G1567" s="20" t="str">
        <f>HYPERLINK("https://semena-nn.ru/catalog/46/999000005873","Фото")</f>
        <v>Фото</v>
      </c>
      <c r="H1567" s="18">
        <v>81.599999999999994</v>
      </c>
      <c r="I1567" s="27"/>
      <c r="J1567" s="13">
        <f>H1567*I1567</f>
        <v>0</v>
      </c>
    </row>
    <row r="1568" spans="1:10" ht="12" customHeight="1">
      <c r="A1568" s="13" t="s">
        <v>7062</v>
      </c>
      <c r="B1568" s="13" t="s">
        <v>7063</v>
      </c>
      <c r="C1568" s="13" t="s">
        <v>143</v>
      </c>
      <c r="D1568" s="13" t="s">
        <v>6927</v>
      </c>
      <c r="E1568" s="13" t="s">
        <v>93</v>
      </c>
      <c r="F1568" s="13" t="s">
        <v>7064</v>
      </c>
      <c r="G1568" s="20" t="str">
        <f>HYPERLINK("https://semena-nn.ru/catalog/46/999000010169","Фото")</f>
        <v>Фото</v>
      </c>
      <c r="H1568" s="19">
        <v>39.65</v>
      </c>
      <c r="I1568" s="27"/>
      <c r="J1568" s="13">
        <f>H1568*I1568</f>
        <v>0</v>
      </c>
    </row>
    <row r="1569" spans="1:10" ht="12" customHeight="1">
      <c r="A1569" s="13" t="s">
        <v>5914</v>
      </c>
      <c r="B1569" s="13" t="s">
        <v>5915</v>
      </c>
      <c r="C1569" s="13" t="s">
        <v>143</v>
      </c>
      <c r="D1569" s="13" t="s">
        <v>5834</v>
      </c>
      <c r="E1569" s="13" t="s">
        <v>93</v>
      </c>
      <c r="F1569" s="13" t="s">
        <v>5916</v>
      </c>
      <c r="G1569" s="20" t="str">
        <f>HYPERLINK("https://semena-nn.ru/catalog/46/888000001556","Фото")</f>
        <v>Фото</v>
      </c>
      <c r="H1569" s="19">
        <v>16.489999999999998</v>
      </c>
      <c r="I1569" s="27"/>
      <c r="J1569" s="13">
        <f>H1569*I1569</f>
        <v>0</v>
      </c>
    </row>
    <row r="1570" spans="1:10" ht="12" customHeight="1">
      <c r="A1570" s="13" t="s">
        <v>8132</v>
      </c>
      <c r="B1570" s="13" t="s">
        <v>8133</v>
      </c>
      <c r="C1570" s="13" t="s">
        <v>143</v>
      </c>
      <c r="D1570" s="13" t="s">
        <v>7728</v>
      </c>
      <c r="E1570" s="13" t="s">
        <v>93</v>
      </c>
      <c r="F1570" s="13" t="s">
        <v>8134</v>
      </c>
      <c r="G1570" s="20" t="str">
        <f>HYPERLINK("https://semena-nn.ru/catalog/46/888000001000","Фото")</f>
        <v>Фото</v>
      </c>
      <c r="H1570" s="15">
        <v>55</v>
      </c>
      <c r="I1570" s="27"/>
      <c r="J1570" s="13">
        <f>H1570*I1570</f>
        <v>0</v>
      </c>
    </row>
    <row r="1571" spans="1:10" ht="12" customHeight="1">
      <c r="A1571" s="13" t="s">
        <v>8135</v>
      </c>
      <c r="B1571" s="13" t="s">
        <v>8136</v>
      </c>
      <c r="C1571" s="13" t="s">
        <v>143</v>
      </c>
      <c r="D1571" s="13" t="s">
        <v>7728</v>
      </c>
      <c r="E1571" s="13" t="s">
        <v>93</v>
      </c>
      <c r="F1571" s="13" t="s">
        <v>8137</v>
      </c>
      <c r="G1571" s="20" t="str">
        <f>HYPERLINK("https://semena-nn.ru/catalog/46/888000001001","Фото")</f>
        <v>Фото</v>
      </c>
      <c r="H1571" s="15">
        <v>55</v>
      </c>
      <c r="I1571" s="27"/>
      <c r="J1571" s="13">
        <f>H1571*I1571</f>
        <v>0</v>
      </c>
    </row>
    <row r="1572" spans="1:10" ht="12" customHeight="1">
      <c r="A1572" s="13" t="s">
        <v>8138</v>
      </c>
      <c r="B1572" s="13" t="s">
        <v>8139</v>
      </c>
      <c r="C1572" s="13" t="s">
        <v>143</v>
      </c>
      <c r="D1572" s="13" t="s">
        <v>7728</v>
      </c>
      <c r="E1572" s="13" t="s">
        <v>93</v>
      </c>
      <c r="F1572" s="17" t="s">
        <v>8140</v>
      </c>
      <c r="G1572" s="20" t="str">
        <f>HYPERLINK("https://semena-nn.ru/catalog/46/888000001002","Фото")</f>
        <v>Фото</v>
      </c>
      <c r="H1572" s="15">
        <v>55</v>
      </c>
      <c r="I1572" s="27"/>
      <c r="J1572" s="13">
        <f>H1572*I1572</f>
        <v>0</v>
      </c>
    </row>
    <row r="1573" spans="1:10" ht="12" customHeight="1">
      <c r="A1573" s="13" t="s">
        <v>8141</v>
      </c>
      <c r="B1573" s="13" t="s">
        <v>8142</v>
      </c>
      <c r="C1573" s="13" t="s">
        <v>143</v>
      </c>
      <c r="D1573" s="13" t="s">
        <v>7728</v>
      </c>
      <c r="E1573" s="13" t="s">
        <v>93</v>
      </c>
      <c r="F1573" s="13" t="s">
        <v>8143</v>
      </c>
      <c r="G1573" s="20" t="str">
        <f>HYPERLINK("https://semena-nn.ru/catalog/46/888000001003","Фото")</f>
        <v>Фото</v>
      </c>
      <c r="H1573" s="18">
        <v>62.9</v>
      </c>
      <c r="I1573" s="27"/>
      <c r="J1573" s="13">
        <f>H1573*I1573</f>
        <v>0</v>
      </c>
    </row>
    <row r="1574" spans="1:10" ht="12" customHeight="1">
      <c r="A1574" s="13" t="s">
        <v>8144</v>
      </c>
      <c r="B1574" s="13" t="s">
        <v>8145</v>
      </c>
      <c r="C1574" s="13" t="s">
        <v>143</v>
      </c>
      <c r="D1574" s="13" t="s">
        <v>7728</v>
      </c>
      <c r="E1574" s="13" t="s">
        <v>93</v>
      </c>
      <c r="F1574" s="13" t="s">
        <v>8146</v>
      </c>
      <c r="G1574" s="20" t="str">
        <f>HYPERLINK("https://semena-nn.ru/catalog/46/888000001004","Фото")</f>
        <v>Фото</v>
      </c>
      <c r="H1574" s="15">
        <v>55</v>
      </c>
      <c r="I1574" s="27"/>
      <c r="J1574" s="13">
        <f>H1574*I1574</f>
        <v>0</v>
      </c>
    </row>
    <row r="1575" spans="1:10" ht="12" customHeight="1">
      <c r="A1575" s="13" t="s">
        <v>8147</v>
      </c>
      <c r="B1575" s="13" t="s">
        <v>8148</v>
      </c>
      <c r="C1575" s="13" t="s">
        <v>143</v>
      </c>
      <c r="D1575" s="13" t="s">
        <v>7728</v>
      </c>
      <c r="E1575" s="13" t="s">
        <v>93</v>
      </c>
      <c r="F1575" s="13" t="s">
        <v>8149</v>
      </c>
      <c r="G1575" s="20" t="str">
        <f>HYPERLINK("https://semena-nn.ru/catalog/46/888000001005","Фото")</f>
        <v>Фото</v>
      </c>
      <c r="H1575" s="15">
        <v>55</v>
      </c>
      <c r="I1575" s="27"/>
      <c r="J1575" s="13">
        <f>H1575*I1575</f>
        <v>0</v>
      </c>
    </row>
    <row r="1576" spans="1:10" ht="12" customHeight="1">
      <c r="A1576" s="13" t="s">
        <v>8150</v>
      </c>
      <c r="B1576" s="13" t="s">
        <v>8151</v>
      </c>
      <c r="C1576" s="13" t="s">
        <v>143</v>
      </c>
      <c r="D1576" s="13" t="s">
        <v>7728</v>
      </c>
      <c r="E1576" s="13" t="s">
        <v>93</v>
      </c>
      <c r="F1576" s="13" t="s">
        <v>8152</v>
      </c>
      <c r="G1576" s="20" t="str">
        <f>HYPERLINK("https://semena-nn.ru/catalog/46/888000001006","Фото")</f>
        <v>Фото</v>
      </c>
      <c r="H1576" s="15">
        <v>55</v>
      </c>
      <c r="I1576" s="27"/>
      <c r="J1576" s="13">
        <f>H1576*I1576</f>
        <v>0</v>
      </c>
    </row>
    <row r="1577" spans="1:10" ht="12" customHeight="1">
      <c r="A1577" s="13" t="s">
        <v>5917</v>
      </c>
      <c r="B1577" s="13" t="s">
        <v>5918</v>
      </c>
      <c r="C1577" s="13" t="s">
        <v>143</v>
      </c>
      <c r="D1577" s="13" t="s">
        <v>5834</v>
      </c>
      <c r="E1577" s="13" t="s">
        <v>93</v>
      </c>
      <c r="F1577" s="13" t="s">
        <v>5919</v>
      </c>
      <c r="G1577" s="20" t="str">
        <f>HYPERLINK("https://semena-nn.ru/catalog/46/888000001557","Фото")</f>
        <v>Фото</v>
      </c>
      <c r="H1577" s="19">
        <v>16.489999999999998</v>
      </c>
      <c r="I1577" s="27"/>
      <c r="J1577" s="13">
        <f>H1577*I1577</f>
        <v>0</v>
      </c>
    </row>
    <row r="1578" spans="1:10" ht="12" customHeight="1">
      <c r="A1578" s="13" t="s">
        <v>3413</v>
      </c>
      <c r="B1578" s="13" t="s">
        <v>3414</v>
      </c>
      <c r="C1578" s="13" t="s">
        <v>143</v>
      </c>
      <c r="D1578" s="13" t="s">
        <v>697</v>
      </c>
      <c r="E1578" s="13" t="s">
        <v>3064</v>
      </c>
      <c r="F1578" s="13" t="s">
        <v>3415</v>
      </c>
      <c r="G1578" s="20" t="str">
        <f>HYPERLINK("https://semena-nn.ru/catalog/46/1288980","Фото")</f>
        <v>Фото</v>
      </c>
      <c r="H1578" s="19">
        <v>12.65</v>
      </c>
      <c r="I1578" s="27"/>
      <c r="J1578" s="13">
        <f>H1578*I1578</f>
        <v>0</v>
      </c>
    </row>
    <row r="1579" spans="1:10" ht="12" customHeight="1">
      <c r="A1579" s="13" t="s">
        <v>7065</v>
      </c>
      <c r="B1579" s="13" t="s">
        <v>7066</v>
      </c>
      <c r="C1579" s="13" t="s">
        <v>143</v>
      </c>
      <c r="D1579" s="13" t="s">
        <v>6927</v>
      </c>
      <c r="E1579" s="13" t="s">
        <v>93</v>
      </c>
      <c r="F1579" s="13" t="s">
        <v>7067</v>
      </c>
      <c r="G1579" s="20" t="str">
        <f>HYPERLINK("https://semena-nn.ru/catalog/46/999000011673","Фото")</f>
        <v>Фото</v>
      </c>
      <c r="H1579" s="15">
        <v>44</v>
      </c>
      <c r="I1579" s="27"/>
      <c r="J1579" s="13">
        <f>H1579*I1579</f>
        <v>0</v>
      </c>
    </row>
    <row r="1580" spans="1:10" ht="12" customHeight="1">
      <c r="A1580" s="13" t="s">
        <v>5068</v>
      </c>
      <c r="B1580" s="13" t="s">
        <v>5069</v>
      </c>
      <c r="C1580" s="13" t="s">
        <v>143</v>
      </c>
      <c r="D1580" s="13" t="s">
        <v>5045</v>
      </c>
      <c r="E1580" s="13" t="s">
        <v>93</v>
      </c>
      <c r="F1580" s="13" t="s">
        <v>5070</v>
      </c>
      <c r="G1580" s="20" t="str">
        <f>HYPERLINK("https://semena-nn.ru/catalog/46/888000007609","Фото")</f>
        <v>Фото</v>
      </c>
      <c r="H1580" s="15">
        <v>24</v>
      </c>
      <c r="I1580" s="27"/>
      <c r="J1580" s="13">
        <f>H1580*I1580</f>
        <v>0</v>
      </c>
    </row>
    <row r="1581" spans="1:10" ht="12" customHeight="1">
      <c r="A1581" s="13" t="s">
        <v>5920</v>
      </c>
      <c r="B1581" s="13" t="s">
        <v>5921</v>
      </c>
      <c r="C1581" s="13" t="s">
        <v>143</v>
      </c>
      <c r="D1581" s="13" t="s">
        <v>5834</v>
      </c>
      <c r="E1581" s="13" t="s">
        <v>93</v>
      </c>
      <c r="F1581" s="13" t="s">
        <v>5922</v>
      </c>
      <c r="G1581" s="20" t="str">
        <f>HYPERLINK("https://semena-nn.ru/catalog/46/888000001558","Фото")</f>
        <v>Фото</v>
      </c>
      <c r="H1581" s="19">
        <v>16.489999999999998</v>
      </c>
      <c r="I1581" s="27"/>
      <c r="J1581" s="13">
        <f>H1581*I1581</f>
        <v>0</v>
      </c>
    </row>
    <row r="1582" spans="1:10" ht="12" customHeight="1">
      <c r="A1582" s="13" t="s">
        <v>445</v>
      </c>
      <c r="B1582" s="13" t="s">
        <v>446</v>
      </c>
      <c r="C1582" s="13" t="s">
        <v>143</v>
      </c>
      <c r="D1582" s="13" t="s">
        <v>28</v>
      </c>
      <c r="E1582" s="13" t="s">
        <v>93</v>
      </c>
      <c r="F1582" s="13" t="s">
        <v>447</v>
      </c>
      <c r="G1582" s="20" t="str">
        <f>HYPERLINK("https://semena-nn.ru/catalog/46/888000007548","Фото")</f>
        <v>Фото</v>
      </c>
      <c r="H1582" s="18">
        <v>32.5</v>
      </c>
      <c r="I1582" s="27"/>
      <c r="J1582" s="13">
        <f>H1582*I1582</f>
        <v>0</v>
      </c>
    </row>
    <row r="1583" spans="1:10" ht="12" customHeight="1">
      <c r="A1583" s="13" t="s">
        <v>1695</v>
      </c>
      <c r="B1583" s="13" t="s">
        <v>1696</v>
      </c>
      <c r="C1583" s="13" t="s">
        <v>143</v>
      </c>
      <c r="D1583" s="13" t="s">
        <v>697</v>
      </c>
      <c r="E1583" s="13" t="s">
        <v>93</v>
      </c>
      <c r="F1583" s="13" t="s">
        <v>1697</v>
      </c>
      <c r="G1583" s="20" t="str">
        <f>HYPERLINK("https://semena-nn.ru/catalog/46/110318","Фото")</f>
        <v>Фото</v>
      </c>
      <c r="H1583" s="18">
        <v>34.9</v>
      </c>
      <c r="I1583" s="27"/>
      <c r="J1583" s="13">
        <f>H1583*I1583</f>
        <v>0</v>
      </c>
    </row>
    <row r="1584" spans="1:10" ht="12" customHeight="1">
      <c r="A1584" s="13" t="s">
        <v>8557</v>
      </c>
      <c r="B1584" s="13" t="s">
        <v>8558</v>
      </c>
      <c r="C1584" s="13" t="s">
        <v>143</v>
      </c>
      <c r="D1584" s="13" t="s">
        <v>8498</v>
      </c>
      <c r="E1584" s="13" t="s">
        <v>93</v>
      </c>
      <c r="F1584" s="13" t="s">
        <v>8559</v>
      </c>
      <c r="G1584" s="20" t="str">
        <f>HYPERLINK("https://semena-nn.ru/catalog/46/999000013165","Фото")</f>
        <v>Фото</v>
      </c>
      <c r="H1584" s="19">
        <v>21.95</v>
      </c>
      <c r="I1584" s="27"/>
      <c r="J1584" s="13">
        <f>H1584*I1584</f>
        <v>0</v>
      </c>
    </row>
    <row r="1585" spans="1:10" ht="12" customHeight="1">
      <c r="A1585" s="13" t="s">
        <v>1698</v>
      </c>
      <c r="B1585" s="13" t="s">
        <v>1699</v>
      </c>
      <c r="C1585" s="13" t="s">
        <v>143</v>
      </c>
      <c r="D1585" s="13" t="s">
        <v>697</v>
      </c>
      <c r="E1585" s="13" t="s">
        <v>93</v>
      </c>
      <c r="F1585" s="13" t="s">
        <v>1700</v>
      </c>
      <c r="G1585" s="20" t="str">
        <f>HYPERLINK("https://semena-nn.ru/catalog/46/999000008054","Фото")</f>
        <v>Фото</v>
      </c>
      <c r="H1585" s="18">
        <v>59.8</v>
      </c>
      <c r="I1585" s="27"/>
      <c r="J1585" s="13">
        <f>H1585*I1585</f>
        <v>0</v>
      </c>
    </row>
    <row r="1586" spans="1:10" ht="12" customHeight="1">
      <c r="A1586" s="13" t="s">
        <v>5329</v>
      </c>
      <c r="B1586" s="13" t="s">
        <v>5330</v>
      </c>
      <c r="C1586" s="13" t="s">
        <v>143</v>
      </c>
      <c r="D1586" s="13" t="s">
        <v>5136</v>
      </c>
      <c r="E1586" s="13" t="s">
        <v>93</v>
      </c>
      <c r="F1586" s="13" t="s">
        <v>5331</v>
      </c>
      <c r="G1586" s="20" t="str">
        <f>HYPERLINK("https://semena-nn.ru/catalog/46/999000019911","Фото")</f>
        <v>Фото</v>
      </c>
      <c r="H1586" s="15">
        <v>63</v>
      </c>
      <c r="I1586" s="27"/>
      <c r="J1586" s="13">
        <f>H1586*I1586</f>
        <v>0</v>
      </c>
    </row>
    <row r="1587" spans="1:10" ht="12" customHeight="1">
      <c r="A1587" s="13" t="s">
        <v>5923</v>
      </c>
      <c r="B1587" s="13" t="s">
        <v>5924</v>
      </c>
      <c r="C1587" s="13" t="s">
        <v>143</v>
      </c>
      <c r="D1587" s="13" t="s">
        <v>5834</v>
      </c>
      <c r="E1587" s="13" t="s">
        <v>93</v>
      </c>
      <c r="F1587" s="13" t="s">
        <v>5925</v>
      </c>
      <c r="G1587" s="20" t="str">
        <f>HYPERLINK("https://semena-nn.ru/catalog/46/888000001560","Фото")</f>
        <v>Фото</v>
      </c>
      <c r="H1587" s="18">
        <v>41.9</v>
      </c>
      <c r="I1587" s="27"/>
      <c r="J1587" s="13">
        <f>H1587*I1587</f>
        <v>0</v>
      </c>
    </row>
    <row r="1588" spans="1:10" ht="12" customHeight="1">
      <c r="A1588" s="13" t="s">
        <v>8153</v>
      </c>
      <c r="B1588" s="13" t="s">
        <v>8154</v>
      </c>
      <c r="C1588" s="13" t="s">
        <v>143</v>
      </c>
      <c r="D1588" s="13" t="s">
        <v>7728</v>
      </c>
      <c r="E1588" s="13" t="s">
        <v>93</v>
      </c>
      <c r="F1588" s="13" t="s">
        <v>8155</v>
      </c>
      <c r="G1588" s="20" t="str">
        <f>HYPERLINK("http://semena-nn.ru/catalog/46/1286920","Фото")</f>
        <v>Фото</v>
      </c>
      <c r="H1588" s="18">
        <v>38.799999999999997</v>
      </c>
      <c r="I1588" s="27"/>
      <c r="J1588" s="13">
        <f>H1588*I1588</f>
        <v>0</v>
      </c>
    </row>
    <row r="1589" spans="1:10" ht="12" customHeight="1">
      <c r="A1589" s="13" t="s">
        <v>4168</v>
      </c>
      <c r="B1589" s="13" t="s">
        <v>4169</v>
      </c>
      <c r="C1589" s="13" t="s">
        <v>143</v>
      </c>
      <c r="D1589" s="13" t="s">
        <v>3475</v>
      </c>
      <c r="E1589" s="13" t="s">
        <v>93</v>
      </c>
      <c r="F1589" s="13" t="s">
        <v>4170</v>
      </c>
      <c r="G1589" s="20" t="str">
        <f>HYPERLINK("http://semena-nn.ru/catalog/46/1299576","Фото")</f>
        <v>Фото</v>
      </c>
      <c r="H1589" s="18">
        <v>54.1</v>
      </c>
      <c r="I1589" s="27"/>
      <c r="J1589" s="13">
        <f>H1589*I1589</f>
        <v>0</v>
      </c>
    </row>
    <row r="1590" spans="1:10" ht="12" customHeight="1">
      <c r="A1590" s="13" t="s">
        <v>148</v>
      </c>
      <c r="B1590" s="13" t="s">
        <v>149</v>
      </c>
      <c r="C1590" s="13" t="s">
        <v>143</v>
      </c>
      <c r="D1590" s="13" t="s">
        <v>92</v>
      </c>
      <c r="E1590" s="13" t="s">
        <v>93</v>
      </c>
      <c r="F1590" s="13" t="s">
        <v>150</v>
      </c>
      <c r="G1590" s="20" t="str">
        <f>HYPERLINK("http://semena-nn.ru/catalog/46/1303109","Фото")</f>
        <v>Фото</v>
      </c>
      <c r="H1590" s="19">
        <v>40.950000000000003</v>
      </c>
      <c r="I1590" s="27"/>
      <c r="J1590" s="13">
        <f>H1590*I1590</f>
        <v>0</v>
      </c>
    </row>
    <row r="1591" spans="1:10" ht="12" customHeight="1">
      <c r="A1591" s="13" t="s">
        <v>4171</v>
      </c>
      <c r="B1591" s="13" t="s">
        <v>4172</v>
      </c>
      <c r="C1591" s="13" t="s">
        <v>143</v>
      </c>
      <c r="D1591" s="13" t="s">
        <v>3475</v>
      </c>
      <c r="E1591" s="13" t="s">
        <v>93</v>
      </c>
      <c r="F1591" s="13" t="s">
        <v>4173</v>
      </c>
      <c r="G1591" s="20" t="str">
        <f>HYPERLINK("http://semena-nn.ru/catalog/46/999000004318","Фото")</f>
        <v>Фото</v>
      </c>
      <c r="H1591" s="19">
        <v>31.75</v>
      </c>
      <c r="I1591" s="27"/>
      <c r="J1591" s="13">
        <f>H1591*I1591</f>
        <v>0</v>
      </c>
    </row>
    <row r="1592" spans="1:10" ht="12" customHeight="1">
      <c r="A1592" s="13" t="s">
        <v>7391</v>
      </c>
      <c r="B1592" s="13" t="s">
        <v>7392</v>
      </c>
      <c r="C1592" s="13" t="s">
        <v>143</v>
      </c>
      <c r="D1592" s="13" t="s">
        <v>7148</v>
      </c>
      <c r="E1592" s="13" t="s">
        <v>93</v>
      </c>
      <c r="F1592" s="17" t="s">
        <v>7393</v>
      </c>
      <c r="G1592" s="20" t="str">
        <f>HYPERLINK("https://semena-nn.ru/catalog/46/1314221","Фото")</f>
        <v>Фото</v>
      </c>
      <c r="H1592" s="19">
        <v>86.95</v>
      </c>
      <c r="I1592" s="27"/>
      <c r="J1592" s="13">
        <f>H1592*I1592</f>
        <v>0</v>
      </c>
    </row>
    <row r="1593" spans="1:10" ht="12" customHeight="1">
      <c r="A1593" s="13" t="s">
        <v>448</v>
      </c>
      <c r="B1593" s="13" t="s">
        <v>449</v>
      </c>
      <c r="C1593" s="13" t="s">
        <v>143</v>
      </c>
      <c r="D1593" s="13" t="s">
        <v>28</v>
      </c>
      <c r="E1593" s="13" t="s">
        <v>93</v>
      </c>
      <c r="F1593" s="13" t="s">
        <v>450</v>
      </c>
      <c r="G1593" s="20" t="str">
        <f>HYPERLINK("https://semena-nn.ru/catalog/46/999000010036","Фото")</f>
        <v>Фото</v>
      </c>
      <c r="H1593" s="19">
        <v>38.54</v>
      </c>
      <c r="I1593" s="27"/>
      <c r="J1593" s="13">
        <f>H1593*I1593</f>
        <v>0</v>
      </c>
    </row>
    <row r="1594" spans="1:10" ht="12" customHeight="1">
      <c r="A1594" s="13" t="s">
        <v>1701</v>
      </c>
      <c r="B1594" s="13" t="s">
        <v>1702</v>
      </c>
      <c r="C1594" s="13" t="s">
        <v>143</v>
      </c>
      <c r="D1594" s="13" t="s">
        <v>697</v>
      </c>
      <c r="E1594" s="13" t="s">
        <v>93</v>
      </c>
      <c r="F1594" s="13" t="s">
        <v>1703</v>
      </c>
      <c r="G1594" s="20" t="str">
        <f>HYPERLINK("https://semena-nn.ru/catalog/46/1311058","Фото")</f>
        <v>Фото</v>
      </c>
      <c r="H1594" s="18">
        <v>21.7</v>
      </c>
      <c r="I1594" s="27"/>
      <c r="J1594" s="13">
        <f>H1594*I1594</f>
        <v>0</v>
      </c>
    </row>
    <row r="1595" spans="1:10" ht="12" customHeight="1">
      <c r="A1595" s="13" t="s">
        <v>1704</v>
      </c>
      <c r="B1595" s="13" t="s">
        <v>1705</v>
      </c>
      <c r="C1595" s="13" t="s">
        <v>143</v>
      </c>
      <c r="D1595" s="13" t="s">
        <v>697</v>
      </c>
      <c r="E1595" s="13" t="s">
        <v>93</v>
      </c>
      <c r="F1595" s="13" t="s">
        <v>1706</v>
      </c>
      <c r="G1595" s="20" t="str">
        <f>HYPERLINK("https://semena-nn.ru/catalog/46/96841","Фото")</f>
        <v>Фото</v>
      </c>
      <c r="H1595" s="19">
        <v>58.85</v>
      </c>
      <c r="I1595" s="27"/>
      <c r="J1595" s="13">
        <f>H1595*I1595</f>
        <v>0</v>
      </c>
    </row>
    <row r="1596" spans="1:10" ht="12" customHeight="1">
      <c r="A1596" s="13" t="s">
        <v>3416</v>
      </c>
      <c r="B1596" s="13" t="s">
        <v>3417</v>
      </c>
      <c r="C1596" s="13" t="s">
        <v>143</v>
      </c>
      <c r="D1596" s="13" t="s">
        <v>697</v>
      </c>
      <c r="E1596" s="13" t="s">
        <v>3064</v>
      </c>
      <c r="F1596" s="13" t="s">
        <v>3418</v>
      </c>
      <c r="G1596" s="20" t="str">
        <f>HYPERLINK("https://semena-nn.ru/catalog/46/1288981","Фото")</f>
        <v>Фото</v>
      </c>
      <c r="H1596" s="19">
        <v>13.34</v>
      </c>
      <c r="I1596" s="27"/>
      <c r="J1596" s="13">
        <f>H1596*I1596</f>
        <v>0</v>
      </c>
    </row>
    <row r="1597" spans="1:10" ht="12" customHeight="1">
      <c r="A1597" s="13" t="s">
        <v>7394</v>
      </c>
      <c r="B1597" s="13" t="s">
        <v>7395</v>
      </c>
      <c r="C1597" s="13" t="s">
        <v>143</v>
      </c>
      <c r="D1597" s="13" t="s">
        <v>7148</v>
      </c>
      <c r="E1597" s="13" t="s">
        <v>93</v>
      </c>
      <c r="F1597" s="13" t="s">
        <v>7396</v>
      </c>
      <c r="G1597" s="20" t="str">
        <f>HYPERLINK("http://semena-nn.ru/catalog/46/1313757","Фото")</f>
        <v>Фото</v>
      </c>
      <c r="H1597" s="18">
        <v>65.5</v>
      </c>
      <c r="I1597" s="27"/>
      <c r="J1597" s="13">
        <f>H1597*I1597</f>
        <v>0</v>
      </c>
    </row>
    <row r="1598" spans="1:10" ht="12" customHeight="1">
      <c r="A1598" s="13" t="s">
        <v>7397</v>
      </c>
      <c r="B1598" s="13" t="s">
        <v>7398</v>
      </c>
      <c r="C1598" s="13" t="s">
        <v>143</v>
      </c>
      <c r="D1598" s="13" t="s">
        <v>7148</v>
      </c>
      <c r="E1598" s="13" t="s">
        <v>93</v>
      </c>
      <c r="F1598" s="13" t="s">
        <v>7399</v>
      </c>
      <c r="G1598" s="20" t="str">
        <f>HYPERLINK("http://semena-nn.ru/catalog/46/1313758","Фото")</f>
        <v>Фото</v>
      </c>
      <c r="H1598" s="18">
        <v>65.5</v>
      </c>
      <c r="I1598" s="27"/>
      <c r="J1598" s="13">
        <f>H1598*I1598</f>
        <v>0</v>
      </c>
    </row>
    <row r="1599" spans="1:10" ht="12" customHeight="1">
      <c r="A1599" s="13" t="s">
        <v>7068</v>
      </c>
      <c r="B1599" s="13" t="s">
        <v>7069</v>
      </c>
      <c r="C1599" s="13" t="s">
        <v>143</v>
      </c>
      <c r="D1599" s="13" t="s">
        <v>6927</v>
      </c>
      <c r="E1599" s="13" t="s">
        <v>93</v>
      </c>
      <c r="F1599" s="13" t="s">
        <v>7070</v>
      </c>
      <c r="G1599" s="20" t="str">
        <f>HYPERLINK("https://semena-nn.ru/catalog/46/888000007570","Фото")</f>
        <v>Фото</v>
      </c>
      <c r="H1599" s="18">
        <v>41.8</v>
      </c>
      <c r="I1599" s="27"/>
      <c r="J1599" s="13">
        <f>H1599*I1599</f>
        <v>0</v>
      </c>
    </row>
    <row r="1600" spans="1:10" ht="12" customHeight="1">
      <c r="A1600" s="13" t="s">
        <v>1707</v>
      </c>
      <c r="B1600" s="13" t="s">
        <v>1708</v>
      </c>
      <c r="C1600" s="13" t="s">
        <v>143</v>
      </c>
      <c r="D1600" s="13" t="s">
        <v>697</v>
      </c>
      <c r="E1600" s="13" t="s">
        <v>93</v>
      </c>
      <c r="F1600" s="13" t="s">
        <v>1709</v>
      </c>
      <c r="G1600" s="20" t="str">
        <f>HYPERLINK("https://semena-nn.ru/catalog/46/999000000581","Фото")</f>
        <v>Фото</v>
      </c>
      <c r="H1600" s="19">
        <v>32.950000000000003</v>
      </c>
      <c r="I1600" s="27"/>
      <c r="J1600" s="13">
        <f>H1600*I1600</f>
        <v>0</v>
      </c>
    </row>
    <row r="1601" spans="1:10" ht="12" customHeight="1">
      <c r="A1601" s="13" t="s">
        <v>8908</v>
      </c>
      <c r="B1601" s="13" t="s">
        <v>8909</v>
      </c>
      <c r="C1601" s="13" t="s">
        <v>143</v>
      </c>
      <c r="D1601" s="13" t="s">
        <v>8717</v>
      </c>
      <c r="E1601" s="13" t="s">
        <v>93</v>
      </c>
      <c r="F1601" s="13" t="s">
        <v>8910</v>
      </c>
      <c r="G1601" s="20" t="str">
        <f>HYPERLINK("https://semena-nn.ru/catalog/46/999000004528","Фото")</f>
        <v>Фото</v>
      </c>
      <c r="H1601" s="18">
        <v>56.2</v>
      </c>
      <c r="I1601" s="27"/>
      <c r="J1601" s="13">
        <f>H1601*I1601</f>
        <v>0</v>
      </c>
    </row>
    <row r="1602" spans="1:10" ht="12" customHeight="1">
      <c r="A1602" s="13" t="s">
        <v>8911</v>
      </c>
      <c r="B1602" s="13" t="s">
        <v>8912</v>
      </c>
      <c r="C1602" s="13" t="s">
        <v>143</v>
      </c>
      <c r="D1602" s="13" t="s">
        <v>8717</v>
      </c>
      <c r="E1602" s="13" t="s">
        <v>93</v>
      </c>
      <c r="F1602" s="13" t="s">
        <v>8913</v>
      </c>
      <c r="G1602" s="20" t="str">
        <f>HYPERLINK("https://semena-nn.ru/catalog/46/999000020199","Фото")</f>
        <v>Фото</v>
      </c>
      <c r="H1602" s="19">
        <v>30.95</v>
      </c>
      <c r="I1602" s="27"/>
      <c r="J1602" s="13">
        <f>H1602*I1602</f>
        <v>0</v>
      </c>
    </row>
    <row r="1603" spans="1:10" ht="12" customHeight="1">
      <c r="A1603" s="13" t="s">
        <v>151</v>
      </c>
      <c r="B1603" s="13" t="s">
        <v>152</v>
      </c>
      <c r="C1603" s="13" t="s">
        <v>143</v>
      </c>
      <c r="D1603" s="13" t="s">
        <v>92</v>
      </c>
      <c r="E1603" s="13" t="s">
        <v>93</v>
      </c>
      <c r="F1603" s="13" t="s">
        <v>153</v>
      </c>
      <c r="G1603" s="20" t="str">
        <f>HYPERLINK("https://semena-nn.ru/catalog/46/888000000197","Фото")</f>
        <v>Фото</v>
      </c>
      <c r="H1603" s="19">
        <v>68.25</v>
      </c>
      <c r="I1603" s="27"/>
      <c r="J1603" s="13">
        <f>H1603*I1603</f>
        <v>0</v>
      </c>
    </row>
    <row r="1604" spans="1:10" ht="12" customHeight="1">
      <c r="A1604" s="13" t="s">
        <v>8560</v>
      </c>
      <c r="B1604" s="13" t="s">
        <v>8561</v>
      </c>
      <c r="C1604" s="13" t="s">
        <v>143</v>
      </c>
      <c r="D1604" s="13" t="s">
        <v>8498</v>
      </c>
      <c r="E1604" s="13" t="s">
        <v>93</v>
      </c>
      <c r="F1604" s="13" t="s">
        <v>8562</v>
      </c>
      <c r="G1604" s="20" t="str">
        <f>HYPERLINK("https://semena-nn.ru/catalog/46/999000010062","Фото")</f>
        <v>Фото</v>
      </c>
      <c r="H1604" s="19">
        <v>22.15</v>
      </c>
      <c r="I1604" s="27"/>
      <c r="J1604" s="13">
        <f>H1604*I1604</f>
        <v>0</v>
      </c>
    </row>
    <row r="1605" spans="1:10" ht="12" customHeight="1">
      <c r="A1605" s="13" t="s">
        <v>7071</v>
      </c>
      <c r="B1605" s="13" t="s">
        <v>7072</v>
      </c>
      <c r="C1605" s="13" t="s">
        <v>143</v>
      </c>
      <c r="D1605" s="13" t="s">
        <v>6927</v>
      </c>
      <c r="E1605" s="13" t="s">
        <v>93</v>
      </c>
      <c r="F1605" s="13" t="s">
        <v>7073</v>
      </c>
      <c r="G1605" s="20" t="str">
        <f>HYPERLINK("https://semena-nn.ru/catalog/46/1310381","Фото")</f>
        <v>Фото</v>
      </c>
      <c r="H1605" s="15">
        <v>33</v>
      </c>
      <c r="I1605" s="27"/>
      <c r="J1605" s="13">
        <f>H1605*I1605</f>
        <v>0</v>
      </c>
    </row>
    <row r="1606" spans="1:10" ht="12" customHeight="1">
      <c r="A1606" s="13" t="s">
        <v>8156</v>
      </c>
      <c r="B1606" s="13" t="s">
        <v>8157</v>
      </c>
      <c r="C1606" s="13" t="s">
        <v>143</v>
      </c>
      <c r="D1606" s="13" t="s">
        <v>7728</v>
      </c>
      <c r="E1606" s="13" t="s">
        <v>93</v>
      </c>
      <c r="F1606" s="13" t="s">
        <v>8158</v>
      </c>
      <c r="G1606" s="20" t="str">
        <f>HYPERLINK("https://semena-nn.ru/catalog/46/101991","Фото")</f>
        <v>Фото</v>
      </c>
      <c r="H1606" s="18">
        <v>48.1</v>
      </c>
      <c r="I1606" s="27"/>
      <c r="J1606" s="13">
        <f>H1606*I1606</f>
        <v>0</v>
      </c>
    </row>
    <row r="1607" spans="1:10" ht="12" customHeight="1">
      <c r="A1607" s="13" t="s">
        <v>4174</v>
      </c>
      <c r="B1607" s="13" t="s">
        <v>4175</v>
      </c>
      <c r="C1607" s="13" t="s">
        <v>143</v>
      </c>
      <c r="D1607" s="13" t="s">
        <v>3475</v>
      </c>
      <c r="E1607" s="13" t="s">
        <v>93</v>
      </c>
      <c r="F1607" s="13" t="s">
        <v>4176</v>
      </c>
      <c r="G1607" s="20" t="str">
        <f>HYPERLINK("https://semena-nn.ru/catalog/46/999000011433","Фото")</f>
        <v>Фото</v>
      </c>
      <c r="H1607" s="19">
        <v>35.25</v>
      </c>
      <c r="I1607" s="27"/>
      <c r="J1607" s="13">
        <f>H1607*I1607</f>
        <v>0</v>
      </c>
    </row>
    <row r="1608" spans="1:10" ht="12" customHeight="1">
      <c r="A1608" s="13" t="s">
        <v>8914</v>
      </c>
      <c r="B1608" s="13" t="s">
        <v>8915</v>
      </c>
      <c r="C1608" s="13" t="s">
        <v>143</v>
      </c>
      <c r="D1608" s="13" t="s">
        <v>8717</v>
      </c>
      <c r="E1608" s="13" t="s">
        <v>93</v>
      </c>
      <c r="F1608" s="13" t="s">
        <v>8916</v>
      </c>
      <c r="G1608" s="20" t="str">
        <f>HYPERLINK("https://semena-nn.ru/catalog/46/999000020200","Фото")</f>
        <v>Фото</v>
      </c>
      <c r="H1608" s="18">
        <v>25.7</v>
      </c>
      <c r="I1608" s="27"/>
      <c r="J1608" s="13">
        <f>H1608*I1608</f>
        <v>0</v>
      </c>
    </row>
    <row r="1609" spans="1:10" ht="12" customHeight="1">
      <c r="A1609" s="13" t="s">
        <v>7400</v>
      </c>
      <c r="B1609" s="13" t="s">
        <v>7401</v>
      </c>
      <c r="C1609" s="13" t="s">
        <v>143</v>
      </c>
      <c r="D1609" s="13" t="s">
        <v>7148</v>
      </c>
      <c r="E1609" s="13" t="s">
        <v>93</v>
      </c>
      <c r="F1609" s="13" t="s">
        <v>7402</v>
      </c>
      <c r="G1609" s="20" t="str">
        <f>HYPERLINK("http://semena-nn.ru/catalog/46/1314225","Фото")</f>
        <v>Фото</v>
      </c>
      <c r="H1609" s="18">
        <v>65.5</v>
      </c>
      <c r="I1609" s="27"/>
      <c r="J1609" s="13">
        <f>H1609*I1609</f>
        <v>0</v>
      </c>
    </row>
    <row r="1610" spans="1:10" ht="12" customHeight="1">
      <c r="A1610" s="13" t="s">
        <v>8159</v>
      </c>
      <c r="B1610" s="13" t="s">
        <v>8160</v>
      </c>
      <c r="C1610" s="13" t="s">
        <v>143</v>
      </c>
      <c r="D1610" s="13" t="s">
        <v>7728</v>
      </c>
      <c r="E1610" s="13" t="s">
        <v>93</v>
      </c>
      <c r="F1610" s="13" t="s">
        <v>8161</v>
      </c>
      <c r="G1610" s="20" t="str">
        <f>HYPERLINK("http://semena-nn.ru/catalog/46/94169","Фото")</f>
        <v>Фото</v>
      </c>
      <c r="H1610" s="18">
        <v>22.2</v>
      </c>
      <c r="I1610" s="27"/>
      <c r="J1610" s="13">
        <f>H1610*I1610</f>
        <v>0</v>
      </c>
    </row>
    <row r="1611" spans="1:10" ht="12" customHeight="1">
      <c r="A1611" s="13" t="s">
        <v>5926</v>
      </c>
      <c r="B1611" s="13" t="s">
        <v>5927</v>
      </c>
      <c r="C1611" s="13" t="s">
        <v>143</v>
      </c>
      <c r="D1611" s="13" t="s">
        <v>5834</v>
      </c>
      <c r="E1611" s="13" t="s">
        <v>93</v>
      </c>
      <c r="F1611" s="13" t="s">
        <v>5928</v>
      </c>
      <c r="G1611" s="20" t="str">
        <f>HYPERLINK("http://semena-nn.ru/catalog/46/987","Фото")</f>
        <v>Фото</v>
      </c>
      <c r="H1611" s="19">
        <v>14.81</v>
      </c>
      <c r="I1611" s="27"/>
      <c r="J1611" s="13">
        <f>H1611*I1611</f>
        <v>0</v>
      </c>
    </row>
    <row r="1612" spans="1:10" ht="12" customHeight="1">
      <c r="A1612" s="13" t="s">
        <v>7403</v>
      </c>
      <c r="B1612" s="13" t="s">
        <v>7404</v>
      </c>
      <c r="C1612" s="13" t="s">
        <v>143</v>
      </c>
      <c r="D1612" s="13" t="s">
        <v>7148</v>
      </c>
      <c r="E1612" s="13" t="s">
        <v>93</v>
      </c>
      <c r="F1612" s="13" t="s">
        <v>7405</v>
      </c>
      <c r="G1612" s="20" t="str">
        <f>HYPERLINK("https://semena-nn.ru/catalog/46/999000013102","Фото")</f>
        <v>Фото</v>
      </c>
      <c r="H1612" s="18">
        <v>89.5</v>
      </c>
      <c r="I1612" s="27"/>
      <c r="J1612" s="13">
        <f>H1612*I1612</f>
        <v>0</v>
      </c>
    </row>
    <row r="1613" spans="1:10" ht="12" customHeight="1">
      <c r="A1613" s="13" t="s">
        <v>5332</v>
      </c>
      <c r="B1613" s="13" t="s">
        <v>5333</v>
      </c>
      <c r="C1613" s="13" t="s">
        <v>143</v>
      </c>
      <c r="D1613" s="13" t="s">
        <v>5136</v>
      </c>
      <c r="E1613" s="13" t="s">
        <v>93</v>
      </c>
      <c r="F1613" s="13" t="s">
        <v>5334</v>
      </c>
      <c r="G1613" s="20" t="str">
        <f>HYPERLINK("https://semena-nn.ru/catalog/46/888000001465","Фото")</f>
        <v>Фото</v>
      </c>
      <c r="H1613" s="18">
        <v>60.8</v>
      </c>
      <c r="I1613" s="27"/>
      <c r="J1613" s="13">
        <f>H1613*I1613</f>
        <v>0</v>
      </c>
    </row>
    <row r="1614" spans="1:10" ht="12" customHeight="1">
      <c r="A1614" s="13" t="s">
        <v>6221</v>
      </c>
      <c r="B1614" s="13" t="s">
        <v>6222</v>
      </c>
      <c r="C1614" s="13" t="s">
        <v>143</v>
      </c>
      <c r="D1614" s="13"/>
      <c r="E1614" s="13" t="s">
        <v>93</v>
      </c>
      <c r="F1614" s="13" t="s">
        <v>6223</v>
      </c>
      <c r="G1614" s="20" t="str">
        <f>HYPERLINK("https://semena-nn.ru/catalog/46/888000000151","Фото")</f>
        <v>Фото</v>
      </c>
      <c r="H1614" s="19">
        <v>70.349999999999994</v>
      </c>
      <c r="I1614" s="27"/>
      <c r="J1614" s="13">
        <f>H1614*I1614</f>
        <v>0</v>
      </c>
    </row>
    <row r="1615" spans="1:10" ht="12" customHeight="1">
      <c r="A1615" s="13" t="s">
        <v>5335</v>
      </c>
      <c r="B1615" s="13" t="s">
        <v>5336</v>
      </c>
      <c r="C1615" s="13" t="s">
        <v>143</v>
      </c>
      <c r="D1615" s="13" t="s">
        <v>5136</v>
      </c>
      <c r="E1615" s="13" t="s">
        <v>93</v>
      </c>
      <c r="F1615" s="13" t="s">
        <v>5337</v>
      </c>
      <c r="G1615" s="20" t="str">
        <f>HYPERLINK("https://semena-nn.ru/catalog/46/888000001619","Фото")</f>
        <v>Фото</v>
      </c>
      <c r="H1615" s="15">
        <v>56</v>
      </c>
      <c r="I1615" s="27"/>
      <c r="J1615" s="13">
        <f>H1615*I1615</f>
        <v>0</v>
      </c>
    </row>
    <row r="1616" spans="1:10" ht="12" customHeight="1">
      <c r="A1616" s="13" t="s">
        <v>5338</v>
      </c>
      <c r="B1616" s="13" t="s">
        <v>5339</v>
      </c>
      <c r="C1616" s="13" t="s">
        <v>143</v>
      </c>
      <c r="D1616" s="13" t="s">
        <v>5136</v>
      </c>
      <c r="E1616" s="13" t="s">
        <v>93</v>
      </c>
      <c r="F1616" s="13" t="s">
        <v>5340</v>
      </c>
      <c r="G1616" s="20" t="str">
        <f>HYPERLINK("https://semena-nn.ru/catalog/46/888000000124","Фото")</f>
        <v>Фото</v>
      </c>
      <c r="H1616" s="15">
        <v>56</v>
      </c>
      <c r="I1616" s="27"/>
      <c r="J1616" s="13">
        <f>H1616*I1616</f>
        <v>0</v>
      </c>
    </row>
    <row r="1617" spans="1:10" ht="12" customHeight="1">
      <c r="A1617" s="13" t="s">
        <v>6224</v>
      </c>
      <c r="B1617" s="13" t="s">
        <v>6225</v>
      </c>
      <c r="C1617" s="13" t="s">
        <v>143</v>
      </c>
      <c r="D1617" s="13"/>
      <c r="E1617" s="13" t="s">
        <v>93</v>
      </c>
      <c r="F1617" s="13" t="s">
        <v>6226</v>
      </c>
      <c r="G1617" s="20" t="str">
        <f>HYPERLINK("https://semena-nn.ru/catalog/46/888000000152","Фото")</f>
        <v>Фото</v>
      </c>
      <c r="H1617" s="19">
        <v>70.349999999999994</v>
      </c>
      <c r="I1617" s="27"/>
      <c r="J1617" s="13">
        <f>H1617*I1617</f>
        <v>0</v>
      </c>
    </row>
    <row r="1618" spans="1:10" ht="12" customHeight="1">
      <c r="A1618" s="13" t="s">
        <v>5341</v>
      </c>
      <c r="B1618" s="13" t="s">
        <v>5342</v>
      </c>
      <c r="C1618" s="13" t="s">
        <v>143</v>
      </c>
      <c r="D1618" s="13" t="s">
        <v>5136</v>
      </c>
      <c r="E1618" s="13" t="s">
        <v>93</v>
      </c>
      <c r="F1618" s="13" t="s">
        <v>5343</v>
      </c>
      <c r="G1618" s="20" t="str">
        <f>HYPERLINK("https://semena-nn.ru/catalog/46/888000000125","Фото")</f>
        <v>Фото</v>
      </c>
      <c r="H1618" s="18">
        <v>78.400000000000006</v>
      </c>
      <c r="I1618" s="27"/>
      <c r="J1618" s="13">
        <f>H1618*I1618</f>
        <v>0</v>
      </c>
    </row>
    <row r="1619" spans="1:10" ht="12" customHeight="1">
      <c r="A1619" s="13" t="s">
        <v>6227</v>
      </c>
      <c r="B1619" s="13" t="s">
        <v>6228</v>
      </c>
      <c r="C1619" s="13" t="s">
        <v>143</v>
      </c>
      <c r="D1619" s="13"/>
      <c r="E1619" s="13" t="s">
        <v>93</v>
      </c>
      <c r="F1619" s="13" t="s">
        <v>6229</v>
      </c>
      <c r="G1619" s="20" t="str">
        <f>HYPERLINK("https://semena-nn.ru/catalog/46/888000000153","Фото")</f>
        <v>Фото</v>
      </c>
      <c r="H1619" s="18">
        <v>72.5</v>
      </c>
      <c r="I1619" s="27"/>
      <c r="J1619" s="13">
        <f>H1619*I1619</f>
        <v>0</v>
      </c>
    </row>
    <row r="1620" spans="1:10" ht="12" customHeight="1">
      <c r="A1620" s="13" t="s">
        <v>5344</v>
      </c>
      <c r="B1620" s="13" t="s">
        <v>5345</v>
      </c>
      <c r="C1620" s="13" t="s">
        <v>143</v>
      </c>
      <c r="D1620" s="13" t="s">
        <v>5136</v>
      </c>
      <c r="E1620" s="13" t="s">
        <v>93</v>
      </c>
      <c r="F1620" s="13" t="s">
        <v>5346</v>
      </c>
      <c r="G1620" s="20" t="str">
        <f>HYPERLINK("https://semena-nn.ru/catalog/46/888000001466","Фото")</f>
        <v>Фото</v>
      </c>
      <c r="H1620" s="15">
        <v>72</v>
      </c>
      <c r="I1620" s="27"/>
      <c r="J1620" s="13">
        <f>H1620*I1620</f>
        <v>0</v>
      </c>
    </row>
    <row r="1621" spans="1:10" ht="12" customHeight="1">
      <c r="A1621" s="13" t="s">
        <v>5347</v>
      </c>
      <c r="B1621" s="13" t="s">
        <v>5348</v>
      </c>
      <c r="C1621" s="13" t="s">
        <v>143</v>
      </c>
      <c r="D1621" s="13" t="s">
        <v>5136</v>
      </c>
      <c r="E1621" s="13" t="s">
        <v>93</v>
      </c>
      <c r="F1621" s="13" t="s">
        <v>5349</v>
      </c>
      <c r="G1621" s="20" t="str">
        <f>HYPERLINK("https://semena-nn.ru/catalog/46/888000001467","Фото")</f>
        <v>Фото</v>
      </c>
      <c r="H1621" s="15">
        <v>56</v>
      </c>
      <c r="I1621" s="27"/>
      <c r="J1621" s="13">
        <f>H1621*I1621</f>
        <v>0</v>
      </c>
    </row>
    <row r="1622" spans="1:10" ht="12" customHeight="1">
      <c r="A1622" s="13" t="s">
        <v>6230</v>
      </c>
      <c r="B1622" s="13" t="s">
        <v>6231</v>
      </c>
      <c r="C1622" s="13" t="s">
        <v>143</v>
      </c>
      <c r="D1622" s="13"/>
      <c r="E1622" s="13" t="s">
        <v>93</v>
      </c>
      <c r="F1622" s="13" t="s">
        <v>6232</v>
      </c>
      <c r="G1622" s="20" t="str">
        <f>HYPERLINK("https://semena-nn.ru/catalog/46/888000000156","Фото")</f>
        <v>Фото</v>
      </c>
      <c r="H1622" s="19">
        <v>66.150000000000006</v>
      </c>
      <c r="I1622" s="27"/>
      <c r="J1622" s="13">
        <f>H1622*I1622</f>
        <v>0</v>
      </c>
    </row>
    <row r="1623" spans="1:10" ht="12" customHeight="1">
      <c r="A1623" s="13" t="s">
        <v>5350</v>
      </c>
      <c r="B1623" s="13" t="s">
        <v>5351</v>
      </c>
      <c r="C1623" s="13" t="s">
        <v>143</v>
      </c>
      <c r="D1623" s="13" t="s">
        <v>5136</v>
      </c>
      <c r="E1623" s="13" t="s">
        <v>93</v>
      </c>
      <c r="F1623" s="13" t="s">
        <v>5352</v>
      </c>
      <c r="G1623" s="20" t="str">
        <f>HYPERLINK("https://semena-nn.ru/catalog/46/888000001620","Фото")</f>
        <v>Фото</v>
      </c>
      <c r="H1623" s="18">
        <v>86.5</v>
      </c>
      <c r="I1623" s="27"/>
      <c r="J1623" s="13">
        <f>H1623*I1623</f>
        <v>0</v>
      </c>
    </row>
    <row r="1624" spans="1:10" ht="12" customHeight="1">
      <c r="A1624" s="13" t="s">
        <v>5353</v>
      </c>
      <c r="B1624" s="13" t="s">
        <v>5354</v>
      </c>
      <c r="C1624" s="13" t="s">
        <v>143</v>
      </c>
      <c r="D1624" s="13" t="s">
        <v>5136</v>
      </c>
      <c r="E1624" s="13" t="s">
        <v>93</v>
      </c>
      <c r="F1624" s="13" t="s">
        <v>5355</v>
      </c>
      <c r="G1624" s="20" t="str">
        <f>HYPERLINK("https://semena-nn.ru/catalog/46/888000000126","Фото")</f>
        <v>Фото</v>
      </c>
      <c r="H1624" s="15">
        <v>63</v>
      </c>
      <c r="I1624" s="27"/>
      <c r="J1624" s="13">
        <f>H1624*I1624</f>
        <v>0</v>
      </c>
    </row>
    <row r="1625" spans="1:10" ht="12" customHeight="1">
      <c r="A1625" s="13" t="s">
        <v>5356</v>
      </c>
      <c r="B1625" s="13" t="s">
        <v>5357</v>
      </c>
      <c r="C1625" s="13" t="s">
        <v>143</v>
      </c>
      <c r="D1625" s="13" t="s">
        <v>5136</v>
      </c>
      <c r="E1625" s="13" t="s">
        <v>93</v>
      </c>
      <c r="F1625" s="13" t="s">
        <v>5358</v>
      </c>
      <c r="G1625" s="20" t="str">
        <f>HYPERLINK("https://semena-nn.ru/catalog/46/888000001621","Фото")</f>
        <v>Фото</v>
      </c>
      <c r="H1625" s="18">
        <v>49.9</v>
      </c>
      <c r="I1625" s="27"/>
      <c r="J1625" s="13">
        <f>H1625*I1625</f>
        <v>0</v>
      </c>
    </row>
    <row r="1626" spans="1:10" ht="12" customHeight="1">
      <c r="A1626" s="13" t="s">
        <v>6233</v>
      </c>
      <c r="B1626" s="13" t="s">
        <v>6234</v>
      </c>
      <c r="C1626" s="13" t="s">
        <v>143</v>
      </c>
      <c r="D1626" s="13"/>
      <c r="E1626" s="13" t="s">
        <v>93</v>
      </c>
      <c r="F1626" s="13" t="s">
        <v>6235</v>
      </c>
      <c r="G1626" s="20" t="str">
        <f>HYPERLINK("https://semena-nn.ru/catalog/46/888000000159","Фото")</f>
        <v>Фото</v>
      </c>
      <c r="H1626" s="15">
        <v>80</v>
      </c>
      <c r="I1626" s="27"/>
      <c r="J1626" s="13">
        <f>H1626*I1626</f>
        <v>0</v>
      </c>
    </row>
    <row r="1627" spans="1:10" ht="12" customHeight="1">
      <c r="A1627" s="13" t="s">
        <v>6236</v>
      </c>
      <c r="B1627" s="13" t="s">
        <v>6237</v>
      </c>
      <c r="C1627" s="13" t="s">
        <v>143</v>
      </c>
      <c r="D1627" s="13"/>
      <c r="E1627" s="13" t="s">
        <v>93</v>
      </c>
      <c r="F1627" s="13" t="s">
        <v>6238</v>
      </c>
      <c r="G1627" s="20" t="str">
        <f>HYPERLINK("https://semena-nn.ru/catalog/46/888000000160","Фото")</f>
        <v>Фото</v>
      </c>
      <c r="H1627" s="15">
        <v>72</v>
      </c>
      <c r="I1627" s="27"/>
      <c r="J1627" s="13">
        <f>H1627*I1627</f>
        <v>0</v>
      </c>
    </row>
    <row r="1628" spans="1:10" ht="12" customHeight="1">
      <c r="A1628" s="13" t="s">
        <v>5359</v>
      </c>
      <c r="B1628" s="13" t="s">
        <v>5360</v>
      </c>
      <c r="C1628" s="13" t="s">
        <v>143</v>
      </c>
      <c r="D1628" s="13" t="s">
        <v>5136</v>
      </c>
      <c r="E1628" s="13" t="s">
        <v>93</v>
      </c>
      <c r="F1628" s="13" t="s">
        <v>5361</v>
      </c>
      <c r="G1628" s="20" t="str">
        <f>HYPERLINK("https://semena-nn.ru/catalog/46/888000001622","Фото")</f>
        <v>Фото</v>
      </c>
      <c r="H1628" s="15">
        <v>60</v>
      </c>
      <c r="I1628" s="27"/>
      <c r="J1628" s="13">
        <f>H1628*I1628</f>
        <v>0</v>
      </c>
    </row>
    <row r="1629" spans="1:10" ht="12" customHeight="1">
      <c r="A1629" s="13" t="s">
        <v>6239</v>
      </c>
      <c r="B1629" s="13" t="s">
        <v>6240</v>
      </c>
      <c r="C1629" s="13" t="s">
        <v>143</v>
      </c>
      <c r="D1629" s="13"/>
      <c r="E1629" s="13" t="s">
        <v>93</v>
      </c>
      <c r="F1629" s="13" t="s">
        <v>6241</v>
      </c>
      <c r="G1629" s="20" t="str">
        <f>HYPERLINK("https://semena-nn.ru/catalog/46/888000000161","Фото")</f>
        <v>Фото</v>
      </c>
      <c r="H1629" s="19">
        <v>70.349999999999994</v>
      </c>
      <c r="I1629" s="27"/>
      <c r="J1629" s="13">
        <f>H1629*I1629</f>
        <v>0</v>
      </c>
    </row>
    <row r="1630" spans="1:10" ht="12" customHeight="1">
      <c r="A1630" s="13" t="s">
        <v>6242</v>
      </c>
      <c r="B1630" s="13" t="s">
        <v>6243</v>
      </c>
      <c r="C1630" s="13" t="s">
        <v>143</v>
      </c>
      <c r="D1630" s="13"/>
      <c r="E1630" s="13" t="s">
        <v>93</v>
      </c>
      <c r="F1630" s="13" t="s">
        <v>6244</v>
      </c>
      <c r="G1630" s="20" t="str">
        <f>HYPERLINK("https://semena-nn.ru/catalog/46/888000000162","Фото")</f>
        <v>Фото</v>
      </c>
      <c r="H1630" s="19">
        <v>70.349999999999994</v>
      </c>
      <c r="I1630" s="27"/>
      <c r="J1630" s="13">
        <f>H1630*I1630</f>
        <v>0</v>
      </c>
    </row>
    <row r="1631" spans="1:10" ht="12" customHeight="1">
      <c r="A1631" s="13" t="s">
        <v>5362</v>
      </c>
      <c r="B1631" s="13" t="s">
        <v>5363</v>
      </c>
      <c r="C1631" s="13" t="s">
        <v>143</v>
      </c>
      <c r="D1631" s="13" t="s">
        <v>5136</v>
      </c>
      <c r="E1631" s="13" t="s">
        <v>93</v>
      </c>
      <c r="F1631" s="13" t="s">
        <v>5364</v>
      </c>
      <c r="G1631" s="20" t="str">
        <f>HYPERLINK("https://semena-nn.ru/catalog/46/888000001390","Фото")</f>
        <v>Фото</v>
      </c>
      <c r="H1631" s="15">
        <v>62</v>
      </c>
      <c r="I1631" s="27"/>
      <c r="J1631" s="13">
        <f>H1631*I1631</f>
        <v>0</v>
      </c>
    </row>
    <row r="1632" spans="1:10" ht="12" customHeight="1">
      <c r="A1632" s="13" t="s">
        <v>5365</v>
      </c>
      <c r="B1632" s="13" t="s">
        <v>5366</v>
      </c>
      <c r="C1632" s="13" t="s">
        <v>143</v>
      </c>
      <c r="D1632" s="13" t="s">
        <v>5136</v>
      </c>
      <c r="E1632" s="13" t="s">
        <v>93</v>
      </c>
      <c r="F1632" s="13" t="s">
        <v>5367</v>
      </c>
      <c r="G1632" s="20" t="str">
        <f>HYPERLINK("https://semena-nn.ru/catalog/46/888000001398","Фото")</f>
        <v>Фото</v>
      </c>
      <c r="H1632" s="15">
        <v>56</v>
      </c>
      <c r="I1632" s="27"/>
      <c r="J1632" s="13">
        <f>H1632*I1632</f>
        <v>0</v>
      </c>
    </row>
    <row r="1633" spans="1:10" ht="12" customHeight="1">
      <c r="A1633" s="13" t="s">
        <v>6245</v>
      </c>
      <c r="B1633" s="13" t="s">
        <v>6246</v>
      </c>
      <c r="C1633" s="13" t="s">
        <v>143</v>
      </c>
      <c r="D1633" s="13"/>
      <c r="E1633" s="13" t="s">
        <v>93</v>
      </c>
      <c r="F1633" s="13" t="s">
        <v>6247</v>
      </c>
      <c r="G1633" s="20" t="str">
        <f>HYPERLINK("https://semena-nn.ru/catalog/46/888000000163","Фото")</f>
        <v>Фото</v>
      </c>
      <c r="H1633" s="19">
        <v>70.349999999999994</v>
      </c>
      <c r="I1633" s="27"/>
      <c r="J1633" s="13">
        <f>H1633*I1633</f>
        <v>0</v>
      </c>
    </row>
    <row r="1634" spans="1:10" ht="12" customHeight="1">
      <c r="A1634" s="13" t="s">
        <v>5368</v>
      </c>
      <c r="B1634" s="13" t="s">
        <v>5369</v>
      </c>
      <c r="C1634" s="13" t="s">
        <v>143</v>
      </c>
      <c r="D1634" s="13" t="s">
        <v>5136</v>
      </c>
      <c r="E1634" s="13" t="s">
        <v>93</v>
      </c>
      <c r="F1634" s="13" t="s">
        <v>5370</v>
      </c>
      <c r="G1634" s="20" t="str">
        <f>HYPERLINK("https://semena-nn.ru/catalog/46/888000000127","Фото")</f>
        <v>Фото</v>
      </c>
      <c r="H1634" s="15">
        <v>63</v>
      </c>
      <c r="I1634" s="27"/>
      <c r="J1634" s="13">
        <f>H1634*I1634</f>
        <v>0</v>
      </c>
    </row>
    <row r="1635" spans="1:10" ht="12" customHeight="1">
      <c r="A1635" s="13" t="s">
        <v>5371</v>
      </c>
      <c r="B1635" s="13" t="s">
        <v>5372</v>
      </c>
      <c r="C1635" s="13" t="s">
        <v>143</v>
      </c>
      <c r="D1635" s="13" t="s">
        <v>5136</v>
      </c>
      <c r="E1635" s="13" t="s">
        <v>93</v>
      </c>
      <c r="F1635" s="13" t="s">
        <v>5373</v>
      </c>
      <c r="G1635" s="20" t="str">
        <f>HYPERLINK("https://semena-nn.ru/catalog/46/888000000128","Фото")</f>
        <v>Фото</v>
      </c>
      <c r="H1635" s="15">
        <v>63</v>
      </c>
      <c r="I1635" s="27"/>
      <c r="J1635" s="13">
        <f>H1635*I1635</f>
        <v>0</v>
      </c>
    </row>
    <row r="1636" spans="1:10" ht="12" customHeight="1">
      <c r="A1636" s="13" t="s">
        <v>6248</v>
      </c>
      <c r="B1636" s="13" t="s">
        <v>6249</v>
      </c>
      <c r="C1636" s="13" t="s">
        <v>143</v>
      </c>
      <c r="D1636" s="13"/>
      <c r="E1636" s="13" t="s">
        <v>93</v>
      </c>
      <c r="F1636" s="13" t="s">
        <v>6250</v>
      </c>
      <c r="G1636" s="20" t="str">
        <f>HYPERLINK("https://semena-nn.ru/catalog/46/888000000164","Фото")</f>
        <v>Фото</v>
      </c>
      <c r="H1636" s="18">
        <v>72.5</v>
      </c>
      <c r="I1636" s="27"/>
      <c r="J1636" s="13">
        <f>H1636*I1636</f>
        <v>0</v>
      </c>
    </row>
    <row r="1637" spans="1:10" ht="12" customHeight="1">
      <c r="A1637" s="13" t="s">
        <v>5374</v>
      </c>
      <c r="B1637" s="13" t="s">
        <v>5375</v>
      </c>
      <c r="C1637" s="13" t="s">
        <v>143</v>
      </c>
      <c r="D1637" s="13" t="s">
        <v>5136</v>
      </c>
      <c r="E1637" s="13" t="s">
        <v>93</v>
      </c>
      <c r="F1637" s="13" t="s">
        <v>5376</v>
      </c>
      <c r="G1637" s="20" t="str">
        <f>HYPERLINK("https://semena-nn.ru/catalog/46/999000020410","Фото")</f>
        <v>Фото</v>
      </c>
      <c r="H1637" s="15">
        <v>59</v>
      </c>
      <c r="I1637" s="27"/>
      <c r="J1637" s="13">
        <f>H1637*I1637</f>
        <v>0</v>
      </c>
    </row>
    <row r="1638" spans="1:10" ht="12" customHeight="1">
      <c r="A1638" s="13" t="s">
        <v>5377</v>
      </c>
      <c r="B1638" s="13" t="s">
        <v>5378</v>
      </c>
      <c r="C1638" s="13" t="s">
        <v>143</v>
      </c>
      <c r="D1638" s="13" t="s">
        <v>5136</v>
      </c>
      <c r="E1638" s="13" t="s">
        <v>93</v>
      </c>
      <c r="F1638" s="13" t="s">
        <v>5379</v>
      </c>
      <c r="G1638" s="20" t="str">
        <f>HYPERLINK("https://semena-nn.ru/catalog/46/888000000129","Фото")</f>
        <v>Фото</v>
      </c>
      <c r="H1638" s="15">
        <v>72</v>
      </c>
      <c r="I1638" s="27"/>
      <c r="J1638" s="13">
        <f>H1638*I1638</f>
        <v>0</v>
      </c>
    </row>
    <row r="1639" spans="1:10" ht="12" customHeight="1">
      <c r="A1639" s="13" t="s">
        <v>5380</v>
      </c>
      <c r="B1639" s="13" t="s">
        <v>5381</v>
      </c>
      <c r="C1639" s="13" t="s">
        <v>143</v>
      </c>
      <c r="D1639" s="13" t="s">
        <v>5136</v>
      </c>
      <c r="E1639" s="13" t="s">
        <v>93</v>
      </c>
      <c r="F1639" s="13" t="s">
        <v>5382</v>
      </c>
      <c r="G1639" s="20" t="str">
        <f>HYPERLINK("https://semena-nn.ru/catalog/46/999000013229","Фото")</f>
        <v>Фото</v>
      </c>
      <c r="H1639" s="15">
        <v>75</v>
      </c>
      <c r="I1639" s="27"/>
      <c r="J1639" s="13">
        <f>H1639*I1639</f>
        <v>0</v>
      </c>
    </row>
    <row r="1640" spans="1:10" ht="12" customHeight="1">
      <c r="A1640" s="13" t="s">
        <v>6251</v>
      </c>
      <c r="B1640" s="13" t="s">
        <v>6252</v>
      </c>
      <c r="C1640" s="13" t="s">
        <v>143</v>
      </c>
      <c r="D1640" s="13"/>
      <c r="E1640" s="13" t="s">
        <v>93</v>
      </c>
      <c r="F1640" s="13" t="s">
        <v>6253</v>
      </c>
      <c r="G1640" s="20" t="str">
        <f>HYPERLINK("https://semena-nn.ru/catalog/46/888000000167","Фото")</f>
        <v>Фото</v>
      </c>
      <c r="H1640" s="19">
        <v>70.349999999999994</v>
      </c>
      <c r="I1640" s="27"/>
      <c r="J1640" s="13">
        <f>H1640*I1640</f>
        <v>0</v>
      </c>
    </row>
    <row r="1641" spans="1:10" ht="12" customHeight="1">
      <c r="A1641" s="13" t="s">
        <v>6254</v>
      </c>
      <c r="B1641" s="13" t="s">
        <v>6255</v>
      </c>
      <c r="C1641" s="13" t="s">
        <v>143</v>
      </c>
      <c r="D1641" s="13"/>
      <c r="E1641" s="13" t="s">
        <v>93</v>
      </c>
      <c r="F1641" s="13" t="s">
        <v>6256</v>
      </c>
      <c r="G1641" s="20" t="str">
        <f>HYPERLINK("https://semena-nn.ru/catalog/46/888000000168","Фото")</f>
        <v>Фото</v>
      </c>
      <c r="H1641" s="15">
        <v>72</v>
      </c>
      <c r="I1641" s="27"/>
      <c r="J1641" s="13">
        <f>H1641*I1641</f>
        <v>0</v>
      </c>
    </row>
    <row r="1642" spans="1:10" ht="12" customHeight="1">
      <c r="A1642" s="13" t="s">
        <v>5383</v>
      </c>
      <c r="B1642" s="13" t="s">
        <v>5384</v>
      </c>
      <c r="C1642" s="13" t="s">
        <v>143</v>
      </c>
      <c r="D1642" s="13" t="s">
        <v>5136</v>
      </c>
      <c r="E1642" s="13" t="s">
        <v>93</v>
      </c>
      <c r="F1642" s="13" t="s">
        <v>5385</v>
      </c>
      <c r="G1642" s="20" t="str">
        <f>HYPERLINK("https://semena-nn.ru/catalog/46/999000020411","Фото")</f>
        <v>Фото</v>
      </c>
      <c r="H1642" s="15">
        <v>72</v>
      </c>
      <c r="I1642" s="27"/>
      <c r="J1642" s="13">
        <f>H1642*I1642</f>
        <v>0</v>
      </c>
    </row>
    <row r="1643" spans="1:10" ht="12" customHeight="1">
      <c r="A1643" s="13" t="s">
        <v>6257</v>
      </c>
      <c r="B1643" s="13" t="s">
        <v>6258</v>
      </c>
      <c r="C1643" s="13" t="s">
        <v>143</v>
      </c>
      <c r="D1643" s="13"/>
      <c r="E1643" s="13" t="s">
        <v>93</v>
      </c>
      <c r="F1643" s="13" t="s">
        <v>6259</v>
      </c>
      <c r="G1643" s="20" t="str">
        <f>HYPERLINK("https://semena-nn.ru/catalog/46/888000000169","Фото")</f>
        <v>Фото</v>
      </c>
      <c r="H1643" s="15">
        <v>72</v>
      </c>
      <c r="I1643" s="27"/>
      <c r="J1643" s="13">
        <f>H1643*I1643</f>
        <v>0</v>
      </c>
    </row>
    <row r="1644" spans="1:10" ht="12" customHeight="1">
      <c r="A1644" s="13" t="s">
        <v>5386</v>
      </c>
      <c r="B1644" s="13" t="s">
        <v>5387</v>
      </c>
      <c r="C1644" s="13" t="s">
        <v>143</v>
      </c>
      <c r="D1644" s="13" t="s">
        <v>5136</v>
      </c>
      <c r="E1644" s="13" t="s">
        <v>93</v>
      </c>
      <c r="F1644" s="13" t="s">
        <v>5388</v>
      </c>
      <c r="G1644" s="20" t="str">
        <f>HYPERLINK("https://semena-nn.ru/catalog/46/888000000130","Фото")</f>
        <v>Фото</v>
      </c>
      <c r="H1644" s="15">
        <v>63</v>
      </c>
      <c r="I1644" s="27"/>
      <c r="J1644" s="13">
        <f>H1644*I1644</f>
        <v>0</v>
      </c>
    </row>
    <row r="1645" spans="1:10" ht="12" customHeight="1">
      <c r="A1645" s="13" t="s">
        <v>6260</v>
      </c>
      <c r="B1645" s="13" t="s">
        <v>6261</v>
      </c>
      <c r="C1645" s="13" t="s">
        <v>143</v>
      </c>
      <c r="D1645" s="13"/>
      <c r="E1645" s="13" t="s">
        <v>93</v>
      </c>
      <c r="F1645" s="13" t="s">
        <v>6262</v>
      </c>
      <c r="G1645" s="20" t="str">
        <f>HYPERLINK("https://semena-nn.ru/catalog/46/888000000170","Фото")</f>
        <v>Фото</v>
      </c>
      <c r="H1645" s="15">
        <v>72</v>
      </c>
      <c r="I1645" s="27"/>
      <c r="J1645" s="13">
        <f>H1645*I1645</f>
        <v>0</v>
      </c>
    </row>
    <row r="1646" spans="1:10" ht="12" customHeight="1">
      <c r="A1646" s="13" t="s">
        <v>5389</v>
      </c>
      <c r="B1646" s="13" t="s">
        <v>5390</v>
      </c>
      <c r="C1646" s="13" t="s">
        <v>143</v>
      </c>
      <c r="D1646" s="13" t="s">
        <v>5136</v>
      </c>
      <c r="E1646" s="13" t="s">
        <v>93</v>
      </c>
      <c r="F1646" s="13" t="s">
        <v>5391</v>
      </c>
      <c r="G1646" s="20" t="str">
        <f>HYPERLINK("https://semena-nn.ru/catalog/46/999000020412","Фото")</f>
        <v>Фото</v>
      </c>
      <c r="H1646" s="15">
        <v>72</v>
      </c>
      <c r="I1646" s="27"/>
      <c r="J1646" s="13">
        <f>H1646*I1646</f>
        <v>0</v>
      </c>
    </row>
    <row r="1647" spans="1:10" ht="12" customHeight="1">
      <c r="A1647" s="13" t="s">
        <v>5392</v>
      </c>
      <c r="B1647" s="13" t="s">
        <v>5393</v>
      </c>
      <c r="C1647" s="13" t="s">
        <v>143</v>
      </c>
      <c r="D1647" s="13" t="s">
        <v>5136</v>
      </c>
      <c r="E1647" s="13" t="s">
        <v>93</v>
      </c>
      <c r="F1647" s="13" t="s">
        <v>5394</v>
      </c>
      <c r="G1647" s="20" t="str">
        <f>HYPERLINK("https://semena-nn.ru/catalog/46/888000001623","Фото")</f>
        <v>Фото</v>
      </c>
      <c r="H1647" s="15">
        <v>56</v>
      </c>
      <c r="I1647" s="27"/>
      <c r="J1647" s="13">
        <f>H1647*I1647</f>
        <v>0</v>
      </c>
    </row>
    <row r="1648" spans="1:10" ht="12" customHeight="1">
      <c r="A1648" s="13" t="s">
        <v>6263</v>
      </c>
      <c r="B1648" s="13" t="s">
        <v>6264</v>
      </c>
      <c r="C1648" s="13" t="s">
        <v>143</v>
      </c>
      <c r="D1648" s="13"/>
      <c r="E1648" s="13" t="s">
        <v>93</v>
      </c>
      <c r="F1648" s="13" t="s">
        <v>6265</v>
      </c>
      <c r="G1648" s="20" t="str">
        <f>HYPERLINK("https://semena-nn.ru/catalog/46/888000000171","Фото")</f>
        <v>Фото</v>
      </c>
      <c r="H1648" s="19">
        <v>66.150000000000006</v>
      </c>
      <c r="I1648" s="27"/>
      <c r="J1648" s="13">
        <f>H1648*I1648</f>
        <v>0</v>
      </c>
    </row>
    <row r="1649" spans="1:10" ht="12" customHeight="1">
      <c r="A1649" s="13" t="s">
        <v>6266</v>
      </c>
      <c r="B1649" s="13" t="s">
        <v>6267</v>
      </c>
      <c r="C1649" s="13" t="s">
        <v>143</v>
      </c>
      <c r="D1649" s="13"/>
      <c r="E1649" s="13" t="s">
        <v>93</v>
      </c>
      <c r="F1649" s="13" t="s">
        <v>6268</v>
      </c>
      <c r="G1649" s="20" t="str">
        <f>HYPERLINK("https://semena-nn.ru/catalog/46/888000000172","Фото")</f>
        <v>Фото</v>
      </c>
      <c r="H1649" s="19">
        <v>66.150000000000006</v>
      </c>
      <c r="I1649" s="27"/>
      <c r="J1649" s="13">
        <f>H1649*I1649</f>
        <v>0</v>
      </c>
    </row>
    <row r="1650" spans="1:10" ht="12" customHeight="1">
      <c r="A1650" s="13" t="s">
        <v>5395</v>
      </c>
      <c r="B1650" s="13" t="s">
        <v>5396</v>
      </c>
      <c r="C1650" s="13" t="s">
        <v>143</v>
      </c>
      <c r="D1650" s="13" t="s">
        <v>5136</v>
      </c>
      <c r="E1650" s="13" t="s">
        <v>93</v>
      </c>
      <c r="F1650" s="13" t="s">
        <v>5397</v>
      </c>
      <c r="G1650" s="20" t="str">
        <f>HYPERLINK("https://semena-nn.ru/catalog/46/888000000131","Фото")</f>
        <v>Фото</v>
      </c>
      <c r="H1650" s="15">
        <v>56</v>
      </c>
      <c r="I1650" s="27"/>
      <c r="J1650" s="13">
        <f>H1650*I1650</f>
        <v>0</v>
      </c>
    </row>
    <row r="1651" spans="1:10" ht="12" customHeight="1">
      <c r="A1651" s="13" t="s">
        <v>7406</v>
      </c>
      <c r="B1651" s="13" t="s">
        <v>7407</v>
      </c>
      <c r="C1651" s="13" t="s">
        <v>143</v>
      </c>
      <c r="D1651" s="13" t="s">
        <v>7148</v>
      </c>
      <c r="E1651" s="13" t="s">
        <v>93</v>
      </c>
      <c r="F1651" s="13" t="s">
        <v>7408</v>
      </c>
      <c r="G1651" s="20" t="str">
        <f>HYPERLINK("https://semena-nn.ru/catalog/46/888000007460","Фото")</f>
        <v>Фото</v>
      </c>
      <c r="H1651" s="18">
        <v>146.19999999999999</v>
      </c>
      <c r="I1651" s="27"/>
      <c r="J1651" s="13">
        <f>H1651*I1651</f>
        <v>0</v>
      </c>
    </row>
    <row r="1652" spans="1:10" ht="12" customHeight="1">
      <c r="A1652" s="13" t="s">
        <v>4177</v>
      </c>
      <c r="B1652" s="13" t="s">
        <v>4178</v>
      </c>
      <c r="C1652" s="13" t="s">
        <v>143</v>
      </c>
      <c r="D1652" s="13" t="s">
        <v>3475</v>
      </c>
      <c r="E1652" s="13" t="s">
        <v>93</v>
      </c>
      <c r="F1652" s="13" t="s">
        <v>4179</v>
      </c>
      <c r="G1652" s="20" t="str">
        <f>HYPERLINK("https://semena-nn.ru/catalog/46/1314324","Фото")</f>
        <v>Фото</v>
      </c>
      <c r="H1652" s="19">
        <v>31.75</v>
      </c>
      <c r="I1652" s="27"/>
      <c r="J1652" s="13">
        <f>H1652*I1652</f>
        <v>0</v>
      </c>
    </row>
    <row r="1653" spans="1:10" ht="12" customHeight="1">
      <c r="A1653" s="13" t="s">
        <v>4180</v>
      </c>
      <c r="B1653" s="13" t="s">
        <v>4181</v>
      </c>
      <c r="C1653" s="13" t="s">
        <v>143</v>
      </c>
      <c r="D1653" s="13" t="s">
        <v>3475</v>
      </c>
      <c r="E1653" s="13" t="s">
        <v>93</v>
      </c>
      <c r="F1653" s="13" t="s">
        <v>4182</v>
      </c>
      <c r="G1653" s="20" t="str">
        <f>HYPERLINK("https://semena-nn.ru/catalog/46/1308403","Фото")</f>
        <v>Фото</v>
      </c>
      <c r="H1653" s="19">
        <v>31.75</v>
      </c>
      <c r="I1653" s="27"/>
      <c r="J1653" s="13">
        <f>H1653*I1653</f>
        <v>0</v>
      </c>
    </row>
    <row r="1654" spans="1:10" ht="12" customHeight="1">
      <c r="A1654" s="13" t="s">
        <v>7409</v>
      </c>
      <c r="B1654" s="13" t="s">
        <v>7410</v>
      </c>
      <c r="C1654" s="13" t="s">
        <v>143</v>
      </c>
      <c r="D1654" s="13" t="s">
        <v>7148</v>
      </c>
      <c r="E1654" s="13" t="s">
        <v>93</v>
      </c>
      <c r="F1654" s="13" t="s">
        <v>7411</v>
      </c>
      <c r="G1654" s="20" t="str">
        <f>HYPERLINK("https://semena-nn.ru/catalog/46/888000000088","Фото")</f>
        <v>Фото</v>
      </c>
      <c r="H1654" s="18">
        <v>85.7</v>
      </c>
      <c r="I1654" s="27"/>
      <c r="J1654" s="13">
        <f>H1654*I1654</f>
        <v>0</v>
      </c>
    </row>
    <row r="1655" spans="1:10" ht="12" customHeight="1">
      <c r="A1655" s="13" t="s">
        <v>6548</v>
      </c>
      <c r="B1655" s="13" t="s">
        <v>6549</v>
      </c>
      <c r="C1655" s="13" t="s">
        <v>143</v>
      </c>
      <c r="D1655" s="13" t="s">
        <v>87</v>
      </c>
      <c r="E1655" s="13" t="s">
        <v>93</v>
      </c>
      <c r="F1655" s="13" t="s">
        <v>6550</v>
      </c>
      <c r="G1655" s="20" t="str">
        <f>HYPERLINK("https://semena-nn.ru/catalog/46/1310867","Фото")</f>
        <v>Фото</v>
      </c>
      <c r="H1655" s="18">
        <v>23.2</v>
      </c>
      <c r="I1655" s="27"/>
      <c r="J1655" s="13">
        <f>H1655*I1655</f>
        <v>0</v>
      </c>
    </row>
    <row r="1656" spans="1:10" ht="12" customHeight="1">
      <c r="A1656" s="13" t="s">
        <v>7412</v>
      </c>
      <c r="B1656" s="13" t="s">
        <v>7413</v>
      </c>
      <c r="C1656" s="13" t="s">
        <v>143</v>
      </c>
      <c r="D1656" s="13" t="s">
        <v>7148</v>
      </c>
      <c r="E1656" s="13" t="s">
        <v>93</v>
      </c>
      <c r="F1656" s="13" t="s">
        <v>7414</v>
      </c>
      <c r="G1656" s="20" t="str">
        <f>HYPERLINK("http://semena-nn.ru/catalog/46/1313760","Фото")</f>
        <v>Фото</v>
      </c>
      <c r="H1656" s="18">
        <v>133.6</v>
      </c>
      <c r="I1656" s="27"/>
      <c r="J1656" s="13">
        <f>H1656*I1656</f>
        <v>0</v>
      </c>
    </row>
    <row r="1657" spans="1:10" ht="12" customHeight="1">
      <c r="A1657" s="13" t="s">
        <v>8563</v>
      </c>
      <c r="B1657" s="13" t="s">
        <v>8564</v>
      </c>
      <c r="C1657" s="13" t="s">
        <v>143</v>
      </c>
      <c r="D1657" s="13" t="s">
        <v>8498</v>
      </c>
      <c r="E1657" s="13" t="s">
        <v>93</v>
      </c>
      <c r="F1657" s="13" t="s">
        <v>8565</v>
      </c>
      <c r="G1657" s="20" t="str">
        <f>HYPERLINK("http://semena-nn.ru/catalog/46/1115689","Фото")</f>
        <v>Фото</v>
      </c>
      <c r="H1657" s="18">
        <v>25.3</v>
      </c>
      <c r="I1657" s="27"/>
      <c r="J1657" s="13">
        <f>H1657*I1657</f>
        <v>0</v>
      </c>
    </row>
    <row r="1658" spans="1:10" ht="12" customHeight="1">
      <c r="A1658" s="13" t="s">
        <v>8566</v>
      </c>
      <c r="B1658" s="13" t="s">
        <v>8567</v>
      </c>
      <c r="C1658" s="13" t="s">
        <v>143</v>
      </c>
      <c r="D1658" s="13" t="s">
        <v>8498</v>
      </c>
      <c r="E1658" s="13" t="s">
        <v>93</v>
      </c>
      <c r="F1658" s="13" t="s">
        <v>8568</v>
      </c>
      <c r="G1658" s="20" t="str">
        <f>HYPERLINK("https://semena-nn.ru/catalog/46/888000007575","Фото")</f>
        <v>Фото</v>
      </c>
      <c r="H1658" s="19">
        <v>30.35</v>
      </c>
      <c r="I1658" s="27"/>
      <c r="J1658" s="13">
        <f>H1658*I1658</f>
        <v>0</v>
      </c>
    </row>
    <row r="1659" spans="1:10" ht="12" customHeight="1">
      <c r="A1659" s="13" t="s">
        <v>8400</v>
      </c>
      <c r="B1659" s="13" t="s">
        <v>8401</v>
      </c>
      <c r="C1659" s="13" t="s">
        <v>143</v>
      </c>
      <c r="D1659" s="13" t="s">
        <v>8317</v>
      </c>
      <c r="E1659" s="13" t="s">
        <v>93</v>
      </c>
      <c r="F1659" s="13" t="s">
        <v>8402</v>
      </c>
      <c r="G1659" s="20" t="str">
        <f>HYPERLINK("https://semena-nn.ru/catalog/46/1303091","Фото")</f>
        <v>Фото</v>
      </c>
      <c r="H1659" s="18">
        <v>154.4</v>
      </c>
      <c r="I1659" s="27"/>
      <c r="J1659" s="13">
        <f>H1659*I1659</f>
        <v>0</v>
      </c>
    </row>
    <row r="1660" spans="1:10" ht="12" customHeight="1">
      <c r="A1660" s="13" t="s">
        <v>7415</v>
      </c>
      <c r="B1660" s="13" t="s">
        <v>7416</v>
      </c>
      <c r="C1660" s="13" t="s">
        <v>143</v>
      </c>
      <c r="D1660" s="13" t="s">
        <v>7148</v>
      </c>
      <c r="E1660" s="13" t="s">
        <v>93</v>
      </c>
      <c r="F1660" s="13" t="s">
        <v>7417</v>
      </c>
      <c r="G1660" s="20" t="str">
        <f>HYPERLINK("https://semena-nn.ru/catalog/46/888000001630","Фото")</f>
        <v>Фото</v>
      </c>
      <c r="H1660" s="18">
        <v>75.599999999999994</v>
      </c>
      <c r="I1660" s="27"/>
      <c r="J1660" s="13">
        <f>H1660*I1660</f>
        <v>0</v>
      </c>
    </row>
    <row r="1661" spans="1:10" ht="12" customHeight="1">
      <c r="A1661" s="13" t="s">
        <v>1710</v>
      </c>
      <c r="B1661" s="13" t="s">
        <v>1711</v>
      </c>
      <c r="C1661" s="13" t="s">
        <v>143</v>
      </c>
      <c r="D1661" s="13" t="s">
        <v>697</v>
      </c>
      <c r="E1661" s="13" t="s">
        <v>93</v>
      </c>
      <c r="F1661" s="13" t="s">
        <v>1712</v>
      </c>
      <c r="G1661" s="20" t="str">
        <f>HYPERLINK("https://semena-nn.ru/catalog/46/888000000274","Фото")</f>
        <v>Фото</v>
      </c>
      <c r="H1661" s="18">
        <v>19.899999999999999</v>
      </c>
      <c r="I1661" s="27"/>
      <c r="J1661" s="13">
        <f>H1661*I1661</f>
        <v>0</v>
      </c>
    </row>
    <row r="1662" spans="1:10" ht="12" customHeight="1">
      <c r="A1662" s="13" t="s">
        <v>3419</v>
      </c>
      <c r="B1662" s="13" t="s">
        <v>3420</v>
      </c>
      <c r="C1662" s="13" t="s">
        <v>143</v>
      </c>
      <c r="D1662" s="13" t="s">
        <v>697</v>
      </c>
      <c r="E1662" s="13" t="s">
        <v>3064</v>
      </c>
      <c r="F1662" s="13" t="s">
        <v>3421</v>
      </c>
      <c r="G1662" s="20" t="str">
        <f>HYPERLINK("https://semena-nn.ru/catalog/46/1288982","Фото")</f>
        <v>Фото</v>
      </c>
      <c r="H1662" s="19">
        <v>12.05</v>
      </c>
      <c r="I1662" s="27"/>
      <c r="J1662" s="13">
        <f>H1662*I1662</f>
        <v>0</v>
      </c>
    </row>
    <row r="1663" spans="1:10" ht="12" customHeight="1">
      <c r="A1663" s="13" t="s">
        <v>7418</v>
      </c>
      <c r="B1663" s="13" t="s">
        <v>7419</v>
      </c>
      <c r="C1663" s="13" t="s">
        <v>143</v>
      </c>
      <c r="D1663" s="13" t="s">
        <v>7148</v>
      </c>
      <c r="E1663" s="13" t="s">
        <v>93</v>
      </c>
      <c r="F1663" s="13" t="s">
        <v>7420</v>
      </c>
      <c r="G1663" s="20" t="str">
        <f>HYPERLINK("https://semena-nn.ru/catalog/46/999000007897","Фото")</f>
        <v>Фото</v>
      </c>
      <c r="H1663" s="18">
        <v>65.5</v>
      </c>
      <c r="I1663" s="27"/>
      <c r="J1663" s="13">
        <f>H1663*I1663</f>
        <v>0</v>
      </c>
    </row>
    <row r="1664" spans="1:10" ht="12" customHeight="1">
      <c r="A1664" s="13" t="s">
        <v>7421</v>
      </c>
      <c r="B1664" s="13" t="s">
        <v>7422</v>
      </c>
      <c r="C1664" s="13" t="s">
        <v>143</v>
      </c>
      <c r="D1664" s="13" t="s">
        <v>7148</v>
      </c>
      <c r="E1664" s="13" t="s">
        <v>93</v>
      </c>
      <c r="F1664" s="13" t="s">
        <v>7423</v>
      </c>
      <c r="G1664" s="20" t="str">
        <f>HYPERLINK("http://semena-nn.ru/catalog/46/1313053","Фото")</f>
        <v>Фото</v>
      </c>
      <c r="H1664" s="18">
        <v>65.5</v>
      </c>
      <c r="I1664" s="27"/>
      <c r="J1664" s="13">
        <f>H1664*I1664</f>
        <v>0</v>
      </c>
    </row>
    <row r="1665" spans="1:10" ht="12" customHeight="1">
      <c r="A1665" s="13" t="s">
        <v>154</v>
      </c>
      <c r="B1665" s="13" t="s">
        <v>155</v>
      </c>
      <c r="C1665" s="13" t="s">
        <v>143</v>
      </c>
      <c r="D1665" s="13" t="s">
        <v>92</v>
      </c>
      <c r="E1665" s="13" t="s">
        <v>93</v>
      </c>
      <c r="F1665" s="13" t="s">
        <v>156</v>
      </c>
      <c r="G1665" s="20" t="str">
        <f>HYPERLINK("https://semena-nn.ru/catalog/46/888000000193","Фото")</f>
        <v>Фото</v>
      </c>
      <c r="H1665" s="18">
        <v>47.8</v>
      </c>
      <c r="I1665" s="27"/>
      <c r="J1665" s="13">
        <f>H1665*I1665</f>
        <v>0</v>
      </c>
    </row>
    <row r="1666" spans="1:10" ht="12" customHeight="1">
      <c r="A1666" s="13" t="s">
        <v>7424</v>
      </c>
      <c r="B1666" s="13" t="s">
        <v>7425</v>
      </c>
      <c r="C1666" s="13" t="s">
        <v>143</v>
      </c>
      <c r="D1666" s="13" t="s">
        <v>7148</v>
      </c>
      <c r="E1666" s="13" t="s">
        <v>93</v>
      </c>
      <c r="F1666" s="13" t="s">
        <v>7426</v>
      </c>
      <c r="G1666" s="20" t="str">
        <f>HYPERLINK("https://semena-nn.ru/catalog/46/888000000355","Фото")</f>
        <v>Фото</v>
      </c>
      <c r="H1666" s="18">
        <v>75.599999999999994</v>
      </c>
      <c r="I1666" s="27"/>
      <c r="J1666" s="13">
        <f>H1666*I1666</f>
        <v>0</v>
      </c>
    </row>
    <row r="1667" spans="1:10" ht="12" customHeight="1">
      <c r="A1667" s="13" t="s">
        <v>7427</v>
      </c>
      <c r="B1667" s="13" t="s">
        <v>7428</v>
      </c>
      <c r="C1667" s="13" t="s">
        <v>143</v>
      </c>
      <c r="D1667" s="13" t="s">
        <v>7148</v>
      </c>
      <c r="E1667" s="13" t="s">
        <v>93</v>
      </c>
      <c r="F1667" s="13" t="s">
        <v>7429</v>
      </c>
      <c r="G1667" s="20" t="str">
        <f>HYPERLINK("https://semena-nn.ru/catalog/46/999000007898","Фото")</f>
        <v>Фото</v>
      </c>
      <c r="H1667" s="18">
        <v>85.7</v>
      </c>
      <c r="I1667" s="27"/>
      <c r="J1667" s="13">
        <f>H1667*I1667</f>
        <v>0</v>
      </c>
    </row>
    <row r="1668" spans="1:10" ht="12" customHeight="1">
      <c r="A1668" s="13" t="s">
        <v>7074</v>
      </c>
      <c r="B1668" s="13" t="s">
        <v>7075</v>
      </c>
      <c r="C1668" s="13" t="s">
        <v>143</v>
      </c>
      <c r="D1668" s="13" t="s">
        <v>6927</v>
      </c>
      <c r="E1668" s="13" t="s">
        <v>93</v>
      </c>
      <c r="F1668" s="13" t="s">
        <v>7076</v>
      </c>
      <c r="G1668" s="20" t="str">
        <f>HYPERLINK("https://semena-nn.ru/catalog/46/999000013289","Фото")</f>
        <v>Фото</v>
      </c>
      <c r="H1668" s="19">
        <v>39.65</v>
      </c>
      <c r="I1668" s="27"/>
      <c r="J1668" s="13">
        <f>H1668*I1668</f>
        <v>0</v>
      </c>
    </row>
    <row r="1669" spans="1:10" ht="12" customHeight="1">
      <c r="A1669" s="13" t="s">
        <v>5071</v>
      </c>
      <c r="B1669" s="13" t="s">
        <v>5072</v>
      </c>
      <c r="C1669" s="13" t="s">
        <v>143</v>
      </c>
      <c r="D1669" s="13" t="s">
        <v>5045</v>
      </c>
      <c r="E1669" s="13" t="s">
        <v>93</v>
      </c>
      <c r="F1669" s="13" t="s">
        <v>5073</v>
      </c>
      <c r="G1669" s="20" t="str">
        <f>HYPERLINK("http://semena-nn.ru/catalog/46/95014","Фото")</f>
        <v>Фото</v>
      </c>
      <c r="H1669" s="18">
        <v>20.2</v>
      </c>
      <c r="I1669" s="27"/>
      <c r="J1669" s="13">
        <f>H1669*I1669</f>
        <v>0</v>
      </c>
    </row>
    <row r="1670" spans="1:10" ht="12" customHeight="1">
      <c r="A1670" s="13" t="s">
        <v>5074</v>
      </c>
      <c r="B1670" s="13" t="s">
        <v>5075</v>
      </c>
      <c r="C1670" s="13" t="s">
        <v>143</v>
      </c>
      <c r="D1670" s="13" t="s">
        <v>5045</v>
      </c>
      <c r="E1670" s="13" t="s">
        <v>93</v>
      </c>
      <c r="F1670" s="13" t="s">
        <v>5076</v>
      </c>
      <c r="G1670" s="20" t="str">
        <f>HYPERLINK("https://semena-nn.ru/catalog/46/999000011534","Фото")</f>
        <v>Фото</v>
      </c>
      <c r="H1670" s="18">
        <v>20.2</v>
      </c>
      <c r="I1670" s="27"/>
      <c r="J1670" s="13">
        <f>H1670*I1670</f>
        <v>0</v>
      </c>
    </row>
    <row r="1671" spans="1:10" ht="12" customHeight="1">
      <c r="A1671" s="13" t="s">
        <v>7430</v>
      </c>
      <c r="B1671" s="13" t="s">
        <v>7431</v>
      </c>
      <c r="C1671" s="13" t="s">
        <v>143</v>
      </c>
      <c r="D1671" s="13" t="s">
        <v>7148</v>
      </c>
      <c r="E1671" s="13" t="s">
        <v>93</v>
      </c>
      <c r="F1671" s="13" t="s">
        <v>7432</v>
      </c>
      <c r="G1671" s="20" t="str">
        <f>HYPERLINK("https://semena-nn.ru/catalog/46/888000001631","Фото")</f>
        <v>Фото</v>
      </c>
      <c r="H1671" s="18">
        <v>69.3</v>
      </c>
      <c r="I1671" s="27"/>
      <c r="J1671" s="13">
        <f>H1671*I1671</f>
        <v>0</v>
      </c>
    </row>
    <row r="1672" spans="1:10" ht="12" customHeight="1">
      <c r="A1672" s="13" t="s">
        <v>7077</v>
      </c>
      <c r="B1672" s="13" t="s">
        <v>7078</v>
      </c>
      <c r="C1672" s="13" t="s">
        <v>143</v>
      </c>
      <c r="D1672" s="13" t="s">
        <v>6927</v>
      </c>
      <c r="E1672" s="13" t="s">
        <v>93</v>
      </c>
      <c r="F1672" s="13" t="s">
        <v>7079</v>
      </c>
      <c r="G1672" s="20" t="str">
        <f>HYPERLINK("https://semena-nn.ru/catalog/46/888000000307","Фото")</f>
        <v>Фото</v>
      </c>
      <c r="H1672" s="18">
        <v>40.700000000000003</v>
      </c>
      <c r="I1672" s="27"/>
      <c r="J1672" s="13">
        <f>H1672*I1672</f>
        <v>0</v>
      </c>
    </row>
    <row r="1673" spans="1:10" ht="12" customHeight="1">
      <c r="A1673" s="13" t="s">
        <v>7433</v>
      </c>
      <c r="B1673" s="13" t="s">
        <v>7434</v>
      </c>
      <c r="C1673" s="13" t="s">
        <v>143</v>
      </c>
      <c r="D1673" s="13" t="s">
        <v>7148</v>
      </c>
      <c r="E1673" s="13" t="s">
        <v>93</v>
      </c>
      <c r="F1673" s="13" t="s">
        <v>7435</v>
      </c>
      <c r="G1673" s="20" t="str">
        <f>HYPERLINK("http://semena-nn.ru/catalog/46/1314919","Фото")</f>
        <v>Фото</v>
      </c>
      <c r="H1673" s="18">
        <v>60.5</v>
      </c>
      <c r="I1673" s="27"/>
      <c r="J1673" s="13">
        <f>H1673*I1673</f>
        <v>0</v>
      </c>
    </row>
    <row r="1674" spans="1:10" ht="12" customHeight="1">
      <c r="A1674" s="13" t="s">
        <v>8162</v>
      </c>
      <c r="B1674" s="13" t="s">
        <v>8163</v>
      </c>
      <c r="C1674" s="13" t="s">
        <v>143</v>
      </c>
      <c r="D1674" s="13" t="s">
        <v>7728</v>
      </c>
      <c r="E1674" s="13" t="s">
        <v>93</v>
      </c>
      <c r="F1674" s="13" t="s">
        <v>8164</v>
      </c>
      <c r="G1674" s="20" t="str">
        <f>HYPERLINK("http://semena-nn.ru/catalog/46/1120406","Фото")</f>
        <v>Фото</v>
      </c>
      <c r="H1674" s="18">
        <v>45.4</v>
      </c>
      <c r="I1674" s="27"/>
      <c r="J1674" s="13">
        <f>H1674*I1674</f>
        <v>0</v>
      </c>
    </row>
    <row r="1675" spans="1:10" ht="12" customHeight="1">
      <c r="A1675" s="13" t="s">
        <v>4183</v>
      </c>
      <c r="B1675" s="13" t="s">
        <v>4184</v>
      </c>
      <c r="C1675" s="13" t="s">
        <v>143</v>
      </c>
      <c r="D1675" s="13" t="s">
        <v>3475</v>
      </c>
      <c r="E1675" s="13" t="s">
        <v>93</v>
      </c>
      <c r="F1675" s="13" t="s">
        <v>4185</v>
      </c>
      <c r="G1675" s="20" t="str">
        <f>HYPERLINK("https://semena-nn.ru/catalog/46/1299574","Фото")</f>
        <v>Фото</v>
      </c>
      <c r="H1675" s="19">
        <v>25.35</v>
      </c>
      <c r="I1675" s="27"/>
      <c r="J1675" s="13">
        <f>H1675*I1675</f>
        <v>0</v>
      </c>
    </row>
    <row r="1676" spans="1:10" ht="12" customHeight="1">
      <c r="A1676" s="13" t="s">
        <v>4186</v>
      </c>
      <c r="B1676" s="13" t="s">
        <v>4187</v>
      </c>
      <c r="C1676" s="13" t="s">
        <v>143</v>
      </c>
      <c r="D1676" s="13" t="s">
        <v>3475</v>
      </c>
      <c r="E1676" s="13" t="s">
        <v>93</v>
      </c>
      <c r="F1676" s="13" t="s">
        <v>4188</v>
      </c>
      <c r="G1676" s="20" t="str">
        <f>HYPERLINK("https://semena-nn.ru/catalog/46/999000007790","Фото")</f>
        <v>Фото</v>
      </c>
      <c r="H1676" s="19">
        <v>25.35</v>
      </c>
      <c r="I1676" s="27"/>
      <c r="J1676" s="13">
        <f>H1676*I1676</f>
        <v>0</v>
      </c>
    </row>
    <row r="1677" spans="1:10" ht="12" customHeight="1">
      <c r="A1677" s="13" t="s">
        <v>8165</v>
      </c>
      <c r="B1677" s="13" t="s">
        <v>8166</v>
      </c>
      <c r="C1677" s="13" t="s">
        <v>143</v>
      </c>
      <c r="D1677" s="13" t="s">
        <v>7728</v>
      </c>
      <c r="E1677" s="13" t="s">
        <v>93</v>
      </c>
      <c r="F1677" s="13" t="s">
        <v>8167</v>
      </c>
      <c r="G1677" s="20" t="str">
        <f>HYPERLINK("http://semena-nn.ru/catalog/46/1305632","Фото")</f>
        <v>Фото</v>
      </c>
      <c r="H1677" s="15">
        <v>25</v>
      </c>
      <c r="I1677" s="27"/>
      <c r="J1677" s="13">
        <f>H1677*I1677</f>
        <v>0</v>
      </c>
    </row>
    <row r="1678" spans="1:10" ht="12" customHeight="1">
      <c r="A1678" s="13" t="s">
        <v>5077</v>
      </c>
      <c r="B1678" s="13" t="s">
        <v>5078</v>
      </c>
      <c r="C1678" s="13" t="s">
        <v>143</v>
      </c>
      <c r="D1678" s="13" t="s">
        <v>5045</v>
      </c>
      <c r="E1678" s="13" t="s">
        <v>93</v>
      </c>
      <c r="F1678" s="13" t="s">
        <v>5079</v>
      </c>
      <c r="G1678" s="20" t="str">
        <f>HYPERLINK("http://semena-nn.ru/catalog/46/1120555","Фото")</f>
        <v>Фото</v>
      </c>
      <c r="H1678" s="18">
        <v>37.799999999999997</v>
      </c>
      <c r="I1678" s="27"/>
      <c r="J1678" s="13">
        <f>H1678*I1678</f>
        <v>0</v>
      </c>
    </row>
    <row r="1679" spans="1:10" ht="12" customHeight="1">
      <c r="A1679" s="13" t="s">
        <v>5398</v>
      </c>
      <c r="B1679" s="13" t="s">
        <v>5399</v>
      </c>
      <c r="C1679" s="13" t="s">
        <v>143</v>
      </c>
      <c r="D1679" s="13" t="s">
        <v>5136</v>
      </c>
      <c r="E1679" s="13" t="s">
        <v>93</v>
      </c>
      <c r="F1679" s="13" t="s">
        <v>5400</v>
      </c>
      <c r="G1679" s="20" t="str">
        <f>HYPERLINK("https://semena-nn.ru/catalog/46/999000013230","Фото")</f>
        <v>Фото</v>
      </c>
      <c r="H1679" s="18">
        <v>64.099999999999994</v>
      </c>
      <c r="I1679" s="27"/>
      <c r="J1679" s="13">
        <f>H1679*I1679</f>
        <v>0</v>
      </c>
    </row>
    <row r="1680" spans="1:10" ht="12" customHeight="1">
      <c r="A1680" s="13" t="s">
        <v>5401</v>
      </c>
      <c r="B1680" s="13" t="s">
        <v>5402</v>
      </c>
      <c r="C1680" s="13" t="s">
        <v>143</v>
      </c>
      <c r="D1680" s="13" t="s">
        <v>5136</v>
      </c>
      <c r="E1680" s="13" t="s">
        <v>93</v>
      </c>
      <c r="F1680" s="13" t="s">
        <v>5403</v>
      </c>
      <c r="G1680" s="20" t="str">
        <f>HYPERLINK("https://semena-nn.ru/catalog/46/999000013231","Фото")</f>
        <v>Фото</v>
      </c>
      <c r="H1680" s="18">
        <v>67.5</v>
      </c>
      <c r="I1680" s="27"/>
      <c r="J1680" s="13">
        <f>H1680*I1680</f>
        <v>0</v>
      </c>
    </row>
    <row r="1681" spans="1:10" ht="12" customHeight="1">
      <c r="A1681" s="13" t="s">
        <v>5404</v>
      </c>
      <c r="B1681" s="13" t="s">
        <v>5405</v>
      </c>
      <c r="C1681" s="13" t="s">
        <v>143</v>
      </c>
      <c r="D1681" s="13" t="s">
        <v>5136</v>
      </c>
      <c r="E1681" s="13" t="s">
        <v>93</v>
      </c>
      <c r="F1681" s="13" t="s">
        <v>5406</v>
      </c>
      <c r="G1681" s="20" t="str">
        <f>HYPERLINK("https://semena-nn.ru/catalog/46/999000013232","Фото")</f>
        <v>Фото</v>
      </c>
      <c r="H1681" s="18">
        <v>67.5</v>
      </c>
      <c r="I1681" s="27"/>
      <c r="J1681" s="13">
        <f>H1681*I1681</f>
        <v>0</v>
      </c>
    </row>
    <row r="1682" spans="1:10" ht="12" customHeight="1">
      <c r="A1682" s="13" t="s">
        <v>5929</v>
      </c>
      <c r="B1682" s="13" t="s">
        <v>5930</v>
      </c>
      <c r="C1682" s="13" t="s">
        <v>143</v>
      </c>
      <c r="D1682" s="13" t="s">
        <v>5834</v>
      </c>
      <c r="E1682" s="13" t="s">
        <v>93</v>
      </c>
      <c r="F1682" s="13" t="s">
        <v>5931</v>
      </c>
      <c r="G1682" s="20" t="str">
        <f>HYPERLINK("https://semena-nn.ru/catalog/46/888000001562","Фото")</f>
        <v>Фото</v>
      </c>
      <c r="H1682" s="19">
        <v>17.64</v>
      </c>
      <c r="I1682" s="27"/>
      <c r="J1682" s="13">
        <f>H1682*I1682</f>
        <v>0</v>
      </c>
    </row>
    <row r="1683" spans="1:10" ht="12" customHeight="1">
      <c r="A1683" s="13" t="s">
        <v>1713</v>
      </c>
      <c r="B1683" s="13" t="s">
        <v>1714</v>
      </c>
      <c r="C1683" s="13" t="s">
        <v>143</v>
      </c>
      <c r="D1683" s="13" t="s">
        <v>697</v>
      </c>
      <c r="E1683" s="13" t="s">
        <v>93</v>
      </c>
      <c r="F1683" s="13" t="s">
        <v>1715</v>
      </c>
      <c r="G1683" s="20" t="str">
        <f>HYPERLINK("https://semena-nn.ru/catalog/46/1282843","Фото")</f>
        <v>Фото</v>
      </c>
      <c r="H1683" s="18">
        <v>32.1</v>
      </c>
      <c r="I1683" s="27"/>
      <c r="J1683" s="13">
        <f>H1683*I1683</f>
        <v>0</v>
      </c>
    </row>
    <row r="1684" spans="1:10" ht="12" customHeight="1">
      <c r="A1684" s="13" t="s">
        <v>1716</v>
      </c>
      <c r="B1684" s="13" t="s">
        <v>1717</v>
      </c>
      <c r="C1684" s="13" t="s">
        <v>143</v>
      </c>
      <c r="D1684" s="13" t="s">
        <v>697</v>
      </c>
      <c r="E1684" s="13" t="s">
        <v>93</v>
      </c>
      <c r="F1684" s="13" t="s">
        <v>1718</v>
      </c>
      <c r="G1684" s="20" t="str">
        <f>HYPERLINK("https://semena-nn.ru/catalog/46/999000011848","Фото")</f>
        <v>Фото</v>
      </c>
      <c r="H1684" s="19">
        <v>37.950000000000003</v>
      </c>
      <c r="I1684" s="27"/>
      <c r="J1684" s="13">
        <f>H1684*I1684</f>
        <v>0</v>
      </c>
    </row>
    <row r="1685" spans="1:10" ht="12" customHeight="1">
      <c r="A1685" s="13" t="s">
        <v>1719</v>
      </c>
      <c r="B1685" s="13" t="s">
        <v>1720</v>
      </c>
      <c r="C1685" s="13" t="s">
        <v>143</v>
      </c>
      <c r="D1685" s="13" t="s">
        <v>697</v>
      </c>
      <c r="E1685" s="13" t="s">
        <v>93</v>
      </c>
      <c r="F1685" s="13" t="s">
        <v>1721</v>
      </c>
      <c r="G1685" s="20" t="str">
        <f>HYPERLINK("https://semena-nn.ru/catalog/46/1120961","Фото")</f>
        <v>Фото</v>
      </c>
      <c r="H1685" s="19">
        <v>20.45</v>
      </c>
      <c r="I1685" s="27"/>
      <c r="J1685" s="13">
        <f>H1685*I1685</f>
        <v>0</v>
      </c>
    </row>
    <row r="1686" spans="1:10" ht="12" customHeight="1">
      <c r="A1686" s="13" t="s">
        <v>3422</v>
      </c>
      <c r="B1686" s="13" t="s">
        <v>3423</v>
      </c>
      <c r="C1686" s="13" t="s">
        <v>143</v>
      </c>
      <c r="D1686" s="13" t="s">
        <v>697</v>
      </c>
      <c r="E1686" s="13" t="s">
        <v>93</v>
      </c>
      <c r="F1686" s="13" t="s">
        <v>3424</v>
      </c>
      <c r="G1686" s="20" t="str">
        <f>HYPERLINK("https://semena-nn.ru/catalog/46/999000001764","Фото")</f>
        <v>Фото</v>
      </c>
      <c r="H1686" s="18">
        <v>13.8</v>
      </c>
      <c r="I1686" s="27"/>
      <c r="J1686" s="13">
        <f>H1686*I1686</f>
        <v>0</v>
      </c>
    </row>
    <row r="1687" spans="1:10" ht="12" customHeight="1">
      <c r="A1687" s="13" t="s">
        <v>7080</v>
      </c>
      <c r="B1687" s="13" t="s">
        <v>7081</v>
      </c>
      <c r="C1687" s="13" t="s">
        <v>143</v>
      </c>
      <c r="D1687" s="13" t="s">
        <v>6927</v>
      </c>
      <c r="E1687" s="13" t="s">
        <v>93</v>
      </c>
      <c r="F1687" s="13" t="s">
        <v>7082</v>
      </c>
      <c r="G1687" s="20" t="str">
        <f>HYPERLINK("https://semena-nn.ru/catalog/46/999000000822","Фото")</f>
        <v>Фото</v>
      </c>
      <c r="H1687" s="18">
        <v>55.1</v>
      </c>
      <c r="I1687" s="27"/>
      <c r="J1687" s="13">
        <f>H1687*I1687</f>
        <v>0</v>
      </c>
    </row>
    <row r="1688" spans="1:10" ht="12" customHeight="1">
      <c r="A1688" s="13" t="s">
        <v>7436</v>
      </c>
      <c r="B1688" s="13" t="s">
        <v>7437</v>
      </c>
      <c r="C1688" s="13" t="s">
        <v>143</v>
      </c>
      <c r="D1688" s="13" t="s">
        <v>7148</v>
      </c>
      <c r="E1688" s="13" t="s">
        <v>93</v>
      </c>
      <c r="F1688" s="13" t="s">
        <v>7438</v>
      </c>
      <c r="G1688" s="20" t="str">
        <f>HYPERLINK("https://semena-nn.ru/catalog/46/888000000356","Фото")</f>
        <v>Фото</v>
      </c>
      <c r="H1688" s="18">
        <v>65.5</v>
      </c>
      <c r="I1688" s="27"/>
      <c r="J1688" s="13">
        <f>H1688*I1688</f>
        <v>0</v>
      </c>
    </row>
    <row r="1689" spans="1:10" ht="12" customHeight="1">
      <c r="A1689" s="13" t="s">
        <v>4189</v>
      </c>
      <c r="B1689" s="13" t="s">
        <v>4190</v>
      </c>
      <c r="C1689" s="13" t="s">
        <v>143</v>
      </c>
      <c r="D1689" s="13" t="s">
        <v>3475</v>
      </c>
      <c r="E1689" s="13" t="s">
        <v>93</v>
      </c>
      <c r="F1689" s="13" t="s">
        <v>4191</v>
      </c>
      <c r="G1689" s="20" t="str">
        <f>HYPERLINK("https://semena-nn.ru/catalog/46/888000007441","Фото")</f>
        <v>Фото</v>
      </c>
      <c r="H1689" s="18">
        <v>29.8</v>
      </c>
      <c r="I1689" s="27"/>
      <c r="J1689" s="13">
        <f>H1689*I1689</f>
        <v>0</v>
      </c>
    </row>
    <row r="1690" spans="1:10" ht="12" customHeight="1">
      <c r="A1690" s="13" t="s">
        <v>4192</v>
      </c>
      <c r="B1690" s="13" t="s">
        <v>4193</v>
      </c>
      <c r="C1690" s="13" t="s">
        <v>143</v>
      </c>
      <c r="D1690" s="13" t="s">
        <v>3475</v>
      </c>
      <c r="E1690" s="13" t="s">
        <v>93</v>
      </c>
      <c r="F1690" s="13" t="s">
        <v>4194</v>
      </c>
      <c r="G1690" s="20" t="str">
        <f>HYPERLINK("https://semena-nn.ru/catalog/46/1282645","Фото")</f>
        <v>Фото</v>
      </c>
      <c r="H1690" s="19">
        <v>74.75</v>
      </c>
      <c r="I1690" s="27"/>
      <c r="J1690" s="13">
        <f>H1690*I1690</f>
        <v>0</v>
      </c>
    </row>
    <row r="1691" spans="1:10" ht="12" customHeight="1">
      <c r="A1691" s="13" t="s">
        <v>4195</v>
      </c>
      <c r="B1691" s="13" t="s">
        <v>4196</v>
      </c>
      <c r="C1691" s="13" t="s">
        <v>143</v>
      </c>
      <c r="D1691" s="13" t="s">
        <v>3475</v>
      </c>
      <c r="E1691" s="13" t="s">
        <v>93</v>
      </c>
      <c r="F1691" s="13" t="s">
        <v>4197</v>
      </c>
      <c r="G1691" s="20" t="str">
        <f>HYPERLINK("http://semena-nn.ru/catalog/46/96856","Фото")</f>
        <v>Фото</v>
      </c>
      <c r="H1691" s="18">
        <v>58.8</v>
      </c>
      <c r="I1691" s="27"/>
      <c r="J1691" s="13">
        <f>H1691*I1691</f>
        <v>0</v>
      </c>
    </row>
    <row r="1692" spans="1:10" ht="12" customHeight="1">
      <c r="A1692" s="13" t="s">
        <v>7439</v>
      </c>
      <c r="B1692" s="13" t="s">
        <v>7440</v>
      </c>
      <c r="C1692" s="13" t="s">
        <v>143</v>
      </c>
      <c r="D1692" s="13" t="s">
        <v>7148</v>
      </c>
      <c r="E1692" s="13" t="s">
        <v>93</v>
      </c>
      <c r="F1692" s="13" t="s">
        <v>7441</v>
      </c>
      <c r="G1692" s="20" t="str">
        <f>HYPERLINK("http://semena-nn.ru/catalog/46/1314920","Фото")</f>
        <v>Фото</v>
      </c>
      <c r="H1692" s="18">
        <v>65.5</v>
      </c>
      <c r="I1692" s="27"/>
      <c r="J1692" s="13">
        <f>H1692*I1692</f>
        <v>0</v>
      </c>
    </row>
    <row r="1693" spans="1:10" ht="12" customHeight="1">
      <c r="A1693" s="13" t="s">
        <v>7083</v>
      </c>
      <c r="B1693" s="13" t="s">
        <v>7084</v>
      </c>
      <c r="C1693" s="13" t="s">
        <v>143</v>
      </c>
      <c r="D1693" s="13" t="s">
        <v>6927</v>
      </c>
      <c r="E1693" s="13" t="s">
        <v>93</v>
      </c>
      <c r="F1693" s="13" t="s">
        <v>7085</v>
      </c>
      <c r="G1693" s="20" t="str">
        <f>HYPERLINK("https://semena-nn.ru/catalog/46/888000007571","Фото")</f>
        <v>Фото</v>
      </c>
      <c r="H1693" s="18">
        <v>39.5</v>
      </c>
      <c r="I1693" s="27"/>
      <c r="J1693" s="13">
        <f>H1693*I1693</f>
        <v>0</v>
      </c>
    </row>
    <row r="1694" spans="1:10" ht="12" customHeight="1">
      <c r="A1694" s="13" t="s">
        <v>7442</v>
      </c>
      <c r="B1694" s="13" t="s">
        <v>7443</v>
      </c>
      <c r="C1694" s="13" t="s">
        <v>143</v>
      </c>
      <c r="D1694" s="13" t="s">
        <v>7148</v>
      </c>
      <c r="E1694" s="13" t="s">
        <v>93</v>
      </c>
      <c r="F1694" s="13" t="s">
        <v>7444</v>
      </c>
      <c r="G1694" s="20" t="str">
        <f>HYPERLINK("http://semena-nn.ru/catalog/46/1314227","Фото")</f>
        <v>Фото</v>
      </c>
      <c r="H1694" s="18">
        <v>55.5</v>
      </c>
      <c r="I1694" s="27"/>
      <c r="J1694" s="13">
        <f>H1694*I1694</f>
        <v>0</v>
      </c>
    </row>
    <row r="1695" spans="1:10" ht="12" customHeight="1">
      <c r="A1695" s="13" t="s">
        <v>8569</v>
      </c>
      <c r="B1695" s="13" t="s">
        <v>8570</v>
      </c>
      <c r="C1695" s="13" t="s">
        <v>143</v>
      </c>
      <c r="D1695" s="13" t="s">
        <v>8498</v>
      </c>
      <c r="E1695" s="13" t="s">
        <v>93</v>
      </c>
      <c r="F1695" s="13" t="s">
        <v>8571</v>
      </c>
      <c r="G1695" s="20" t="str">
        <f>HYPERLINK("https://semena-nn.ru/catalog/46/999000006061","Фото")</f>
        <v>Фото</v>
      </c>
      <c r="H1695" s="18">
        <v>24.4</v>
      </c>
      <c r="I1695" s="27"/>
      <c r="J1695" s="13">
        <f>H1695*I1695</f>
        <v>0</v>
      </c>
    </row>
    <row r="1696" spans="1:10" ht="12" customHeight="1">
      <c r="A1696" s="13" t="s">
        <v>6551</v>
      </c>
      <c r="B1696" s="13" t="s">
        <v>6552</v>
      </c>
      <c r="C1696" s="13" t="s">
        <v>143</v>
      </c>
      <c r="D1696" s="13" t="s">
        <v>87</v>
      </c>
      <c r="E1696" s="13" t="s">
        <v>93</v>
      </c>
      <c r="F1696" s="13" t="s">
        <v>6553</v>
      </c>
      <c r="G1696" s="20" t="str">
        <f>HYPERLINK("https://semena-nn.ru/catalog/46/1311101","Фото")</f>
        <v>Фото</v>
      </c>
      <c r="H1696" s="19">
        <v>21.35</v>
      </c>
      <c r="I1696" s="27"/>
      <c r="J1696" s="13">
        <f>H1696*I1696</f>
        <v>0</v>
      </c>
    </row>
    <row r="1697" spans="1:10" ht="12" customHeight="1">
      <c r="A1697" s="13" t="s">
        <v>8917</v>
      </c>
      <c r="B1697" s="13" t="s">
        <v>8918</v>
      </c>
      <c r="C1697" s="13" t="s">
        <v>143</v>
      </c>
      <c r="D1697" s="13" t="s">
        <v>8717</v>
      </c>
      <c r="E1697" s="13" t="s">
        <v>93</v>
      </c>
      <c r="F1697" s="13" t="s">
        <v>8919</v>
      </c>
      <c r="G1697" s="20" t="str">
        <f>HYPERLINK("http://semena-nn.ru/catalog/46/1307661","Фото")</f>
        <v>Фото</v>
      </c>
      <c r="H1697" s="18">
        <v>21.5</v>
      </c>
      <c r="I1697" s="27"/>
      <c r="J1697" s="13">
        <f>H1697*I1697</f>
        <v>0</v>
      </c>
    </row>
    <row r="1698" spans="1:10" ht="12" customHeight="1">
      <c r="A1698" s="13" t="s">
        <v>5407</v>
      </c>
      <c r="B1698" s="13" t="s">
        <v>5408</v>
      </c>
      <c r="C1698" s="13" t="s">
        <v>143</v>
      </c>
      <c r="D1698" s="13" t="s">
        <v>5136</v>
      </c>
      <c r="E1698" s="13" t="s">
        <v>93</v>
      </c>
      <c r="F1698" s="13" t="s">
        <v>5409</v>
      </c>
      <c r="G1698" s="20" t="str">
        <f>HYPERLINK("https://semena-nn.ru/catalog/46/999000013233","Фото")</f>
        <v>Фото</v>
      </c>
      <c r="H1698" s="15">
        <v>64</v>
      </c>
      <c r="I1698" s="27"/>
      <c r="J1698" s="13">
        <f>H1698*I1698</f>
        <v>0</v>
      </c>
    </row>
    <row r="1699" spans="1:10" ht="12" customHeight="1">
      <c r="A1699" s="13" t="s">
        <v>5410</v>
      </c>
      <c r="B1699" s="13" t="s">
        <v>5411</v>
      </c>
      <c r="C1699" s="13" t="s">
        <v>143</v>
      </c>
      <c r="D1699" s="13" t="s">
        <v>5136</v>
      </c>
      <c r="E1699" s="13" t="s">
        <v>93</v>
      </c>
      <c r="F1699" s="13" t="s">
        <v>5412</v>
      </c>
      <c r="G1699" s="20" t="str">
        <f>HYPERLINK("https://semena-nn.ru/catalog/46/999000013234","Фото")</f>
        <v>Фото</v>
      </c>
      <c r="H1699" s="15">
        <v>64</v>
      </c>
      <c r="I1699" s="27"/>
      <c r="J1699" s="13">
        <f>H1699*I1699</f>
        <v>0</v>
      </c>
    </row>
    <row r="1700" spans="1:10" ht="12" customHeight="1">
      <c r="A1700" s="13" t="s">
        <v>5413</v>
      </c>
      <c r="B1700" s="13" t="s">
        <v>5414</v>
      </c>
      <c r="C1700" s="13" t="s">
        <v>143</v>
      </c>
      <c r="D1700" s="13" t="s">
        <v>5136</v>
      </c>
      <c r="E1700" s="13" t="s">
        <v>93</v>
      </c>
      <c r="F1700" s="13" t="s">
        <v>5415</v>
      </c>
      <c r="G1700" s="20" t="str">
        <f>HYPERLINK("https://semena-nn.ru/catalog/46/999000020413","Фото")</f>
        <v>Фото</v>
      </c>
      <c r="H1700" s="15">
        <v>57</v>
      </c>
      <c r="I1700" s="27"/>
      <c r="J1700" s="13">
        <f>H1700*I1700</f>
        <v>0</v>
      </c>
    </row>
    <row r="1701" spans="1:10" ht="12" customHeight="1">
      <c r="A1701" s="13" t="s">
        <v>7445</v>
      </c>
      <c r="B1701" s="13" t="s">
        <v>7446</v>
      </c>
      <c r="C1701" s="13" t="s">
        <v>143</v>
      </c>
      <c r="D1701" s="13" t="s">
        <v>7148</v>
      </c>
      <c r="E1701" s="13" t="s">
        <v>93</v>
      </c>
      <c r="F1701" s="13" t="s">
        <v>7447</v>
      </c>
      <c r="G1701" s="20" t="str">
        <f>HYPERLINK("https://semena-nn.ru/catalog/46/999000005869","Фото")</f>
        <v>Фото</v>
      </c>
      <c r="H1701" s="18">
        <v>65.5</v>
      </c>
      <c r="I1701" s="27"/>
      <c r="J1701" s="13">
        <f>H1701*I1701</f>
        <v>0</v>
      </c>
    </row>
    <row r="1702" spans="1:10" ht="12" customHeight="1">
      <c r="A1702" s="13" t="s">
        <v>4198</v>
      </c>
      <c r="B1702" s="13" t="s">
        <v>4199</v>
      </c>
      <c r="C1702" s="13" t="s">
        <v>143</v>
      </c>
      <c r="D1702" s="13" t="s">
        <v>3475</v>
      </c>
      <c r="E1702" s="13" t="s">
        <v>93</v>
      </c>
      <c r="F1702" s="13" t="s">
        <v>4200</v>
      </c>
      <c r="G1702" s="20" t="str">
        <f>HYPERLINK("http://semena-nn.ru/catalog/46/96861","Фото")</f>
        <v>Фото</v>
      </c>
      <c r="H1702" s="18">
        <v>30.6</v>
      </c>
      <c r="I1702" s="27"/>
      <c r="J1702" s="13">
        <f>H1702*I1702</f>
        <v>0</v>
      </c>
    </row>
    <row r="1703" spans="1:10" ht="12" customHeight="1">
      <c r="A1703" s="13" t="s">
        <v>8168</v>
      </c>
      <c r="B1703" s="13" t="s">
        <v>8169</v>
      </c>
      <c r="C1703" s="13" t="s">
        <v>143</v>
      </c>
      <c r="D1703" s="13" t="s">
        <v>7728</v>
      </c>
      <c r="E1703" s="13" t="s">
        <v>93</v>
      </c>
      <c r="F1703" s="13" t="s">
        <v>8170</v>
      </c>
      <c r="G1703" s="20" t="str">
        <f>HYPERLINK("http://semena-nn.ru/catalog/46/1286924","Фото")</f>
        <v>Фото</v>
      </c>
      <c r="H1703" s="18">
        <v>45.5</v>
      </c>
      <c r="I1703" s="27"/>
      <c r="J1703" s="13">
        <f>H1703*I1703</f>
        <v>0</v>
      </c>
    </row>
    <row r="1704" spans="1:10" ht="12" customHeight="1">
      <c r="A1704" s="13" t="s">
        <v>7448</v>
      </c>
      <c r="B1704" s="13" t="s">
        <v>7449</v>
      </c>
      <c r="C1704" s="13" t="s">
        <v>143</v>
      </c>
      <c r="D1704" s="13" t="s">
        <v>7148</v>
      </c>
      <c r="E1704" s="13" t="s">
        <v>93</v>
      </c>
      <c r="F1704" s="13" t="s">
        <v>7450</v>
      </c>
      <c r="G1704" s="20" t="str">
        <f>HYPERLINK("http://semena-nn.ru/catalog/46/1313763","Фото")</f>
        <v>Фото</v>
      </c>
      <c r="H1704" s="18">
        <v>70.599999999999994</v>
      </c>
      <c r="I1704" s="27"/>
      <c r="J1704" s="13">
        <f>H1704*I1704</f>
        <v>0</v>
      </c>
    </row>
    <row r="1705" spans="1:10" ht="12" customHeight="1">
      <c r="A1705" s="13" t="s">
        <v>451</v>
      </c>
      <c r="B1705" s="13" t="s">
        <v>452</v>
      </c>
      <c r="C1705" s="13" t="s">
        <v>143</v>
      </c>
      <c r="D1705" s="13" t="s">
        <v>28</v>
      </c>
      <c r="E1705" s="13" t="s">
        <v>93</v>
      </c>
      <c r="F1705" s="13" t="s">
        <v>453</v>
      </c>
      <c r="G1705" s="20" t="str">
        <f>HYPERLINK("https://semena-nn.ru/catalog/46/999000009733","Фото")</f>
        <v>Фото</v>
      </c>
      <c r="H1705" s="19">
        <v>46.41</v>
      </c>
      <c r="I1705" s="27"/>
      <c r="J1705" s="13">
        <f>H1705*I1705</f>
        <v>0</v>
      </c>
    </row>
    <row r="1706" spans="1:10" ht="12" customHeight="1">
      <c r="A1706" s="13" t="s">
        <v>7086</v>
      </c>
      <c r="B1706" s="13" t="s">
        <v>7087</v>
      </c>
      <c r="C1706" s="13" t="s">
        <v>143</v>
      </c>
      <c r="D1706" s="13" t="s">
        <v>6927</v>
      </c>
      <c r="E1706" s="13" t="s">
        <v>93</v>
      </c>
      <c r="F1706" s="13" t="s">
        <v>7088</v>
      </c>
      <c r="G1706" s="20" t="str">
        <f>HYPERLINK("https://semena-nn.ru/catalog/46/999000002279","Фото")</f>
        <v>Фото</v>
      </c>
      <c r="H1706" s="19">
        <v>39.65</v>
      </c>
      <c r="I1706" s="27"/>
      <c r="J1706" s="13">
        <f>H1706*I1706</f>
        <v>0</v>
      </c>
    </row>
    <row r="1707" spans="1:10" ht="12" customHeight="1">
      <c r="A1707" s="13" t="s">
        <v>5416</v>
      </c>
      <c r="B1707" s="13" t="s">
        <v>5417</v>
      </c>
      <c r="C1707" s="13" t="s">
        <v>143</v>
      </c>
      <c r="D1707" s="13" t="s">
        <v>5136</v>
      </c>
      <c r="E1707" s="13" t="s">
        <v>93</v>
      </c>
      <c r="F1707" s="13" t="s">
        <v>5418</v>
      </c>
      <c r="G1707" s="20" t="str">
        <f>HYPERLINK("https://semena-nn.ru/catalog/46/999000013235","Фото")</f>
        <v>Фото</v>
      </c>
      <c r="H1707" s="18">
        <v>46.9</v>
      </c>
      <c r="I1707" s="27"/>
      <c r="J1707" s="13">
        <f>H1707*I1707</f>
        <v>0</v>
      </c>
    </row>
    <row r="1708" spans="1:10" ht="12" customHeight="1">
      <c r="A1708" s="13" t="s">
        <v>7451</v>
      </c>
      <c r="B1708" s="13" t="s">
        <v>7452</v>
      </c>
      <c r="C1708" s="13" t="s">
        <v>143</v>
      </c>
      <c r="D1708" s="13" t="s">
        <v>7148</v>
      </c>
      <c r="E1708" s="13" t="s">
        <v>93</v>
      </c>
      <c r="F1708" s="13" t="s">
        <v>7453</v>
      </c>
      <c r="G1708" s="20" t="str">
        <f>HYPERLINK("http://semena-nn.ru/catalog/46/1314923","Фото")</f>
        <v>Фото</v>
      </c>
      <c r="H1708" s="18">
        <v>75.599999999999994</v>
      </c>
      <c r="I1708" s="27"/>
      <c r="J1708" s="13">
        <f>H1708*I1708</f>
        <v>0</v>
      </c>
    </row>
    <row r="1709" spans="1:10" ht="12" customHeight="1">
      <c r="A1709" s="13" t="s">
        <v>454</v>
      </c>
      <c r="B1709" s="13" t="s">
        <v>455</v>
      </c>
      <c r="C1709" s="13" t="s">
        <v>143</v>
      </c>
      <c r="D1709" s="13" t="s">
        <v>28</v>
      </c>
      <c r="E1709" s="13" t="s">
        <v>93</v>
      </c>
      <c r="F1709" s="13" t="s">
        <v>456</v>
      </c>
      <c r="G1709" s="20" t="str">
        <f>HYPERLINK("https://semena-nn.ru/catalog/46/999000011220","Фото")</f>
        <v>Фото</v>
      </c>
      <c r="H1709" s="18">
        <v>48.2</v>
      </c>
      <c r="I1709" s="27"/>
      <c r="J1709" s="13">
        <f>H1709*I1709</f>
        <v>0</v>
      </c>
    </row>
    <row r="1710" spans="1:10" ht="12" customHeight="1">
      <c r="A1710" s="13" t="s">
        <v>8572</v>
      </c>
      <c r="B1710" s="13" t="s">
        <v>8573</v>
      </c>
      <c r="C1710" s="13" t="s">
        <v>143</v>
      </c>
      <c r="D1710" s="13" t="s">
        <v>8498</v>
      </c>
      <c r="E1710" s="13" t="s">
        <v>93</v>
      </c>
      <c r="F1710" s="13" t="s">
        <v>8574</v>
      </c>
      <c r="G1710" s="20" t="str">
        <f>HYPERLINK("https://semena-nn.ru/catalog/46/999000011362","Фото")</f>
        <v>Фото</v>
      </c>
      <c r="H1710" s="18">
        <v>21.9</v>
      </c>
      <c r="I1710" s="27"/>
      <c r="J1710" s="13">
        <f>H1710*I1710</f>
        <v>0</v>
      </c>
    </row>
    <row r="1711" spans="1:10" ht="12" customHeight="1">
      <c r="A1711" s="13" t="s">
        <v>1722</v>
      </c>
      <c r="B1711" s="13" t="s">
        <v>1723</v>
      </c>
      <c r="C1711" s="13" t="s">
        <v>143</v>
      </c>
      <c r="D1711" s="13" t="s">
        <v>697</v>
      </c>
      <c r="E1711" s="13" t="s">
        <v>93</v>
      </c>
      <c r="F1711" s="13" t="s">
        <v>1724</v>
      </c>
      <c r="G1711" s="20" t="str">
        <f>HYPERLINK("http://semena-nn.ru/catalog/46/93498","Фото")</f>
        <v>Фото</v>
      </c>
      <c r="H1711" s="18">
        <v>32.5</v>
      </c>
      <c r="I1711" s="27"/>
      <c r="J1711" s="13">
        <f>H1711*I1711</f>
        <v>0</v>
      </c>
    </row>
    <row r="1712" spans="1:10" ht="12" customHeight="1">
      <c r="A1712" s="13" t="s">
        <v>457</v>
      </c>
      <c r="B1712" s="13" t="s">
        <v>458</v>
      </c>
      <c r="C1712" s="13" t="s">
        <v>143</v>
      </c>
      <c r="D1712" s="13" t="s">
        <v>28</v>
      </c>
      <c r="E1712" s="13" t="s">
        <v>93</v>
      </c>
      <c r="F1712" s="13" t="s">
        <v>459</v>
      </c>
      <c r="G1712" s="20" t="str">
        <f>HYPERLINK("https://semena-nn.ru/catalog/46/999000009988","Фото")</f>
        <v>Фото</v>
      </c>
      <c r="H1712" s="19">
        <v>31.29</v>
      </c>
      <c r="I1712" s="27"/>
      <c r="J1712" s="13">
        <f>H1712*I1712</f>
        <v>0</v>
      </c>
    </row>
    <row r="1713" spans="1:10" ht="12" customHeight="1">
      <c r="A1713" s="13" t="s">
        <v>5419</v>
      </c>
      <c r="B1713" s="13" t="s">
        <v>5420</v>
      </c>
      <c r="C1713" s="13" t="s">
        <v>143</v>
      </c>
      <c r="D1713" s="13" t="s">
        <v>5136</v>
      </c>
      <c r="E1713" s="13" t="s">
        <v>93</v>
      </c>
      <c r="F1713" s="13" t="s">
        <v>5421</v>
      </c>
      <c r="G1713" s="20" t="str">
        <f>HYPERLINK("https://semena-nn.ru/catalog/46/888000000133","Фото")</f>
        <v>Фото</v>
      </c>
      <c r="H1713" s="18">
        <v>70.900000000000006</v>
      </c>
      <c r="I1713" s="27"/>
      <c r="J1713" s="13">
        <f>H1713*I1713</f>
        <v>0</v>
      </c>
    </row>
    <row r="1714" spans="1:10" ht="12" customHeight="1">
      <c r="A1714" s="13" t="s">
        <v>5422</v>
      </c>
      <c r="B1714" s="13" t="s">
        <v>5423</v>
      </c>
      <c r="C1714" s="13" t="s">
        <v>143</v>
      </c>
      <c r="D1714" s="13" t="s">
        <v>5136</v>
      </c>
      <c r="E1714" s="13" t="s">
        <v>93</v>
      </c>
      <c r="F1714" s="13" t="s">
        <v>5424</v>
      </c>
      <c r="G1714" s="20" t="str">
        <f>HYPERLINK("https://semena-nn.ru/catalog/46/888000000134","Фото")</f>
        <v>Фото</v>
      </c>
      <c r="H1714" s="18">
        <v>70.900000000000006</v>
      </c>
      <c r="I1714" s="27"/>
      <c r="J1714" s="13">
        <f>H1714*I1714</f>
        <v>0</v>
      </c>
    </row>
    <row r="1715" spans="1:10" ht="12" customHeight="1">
      <c r="A1715" s="13" t="s">
        <v>7454</v>
      </c>
      <c r="B1715" s="13" t="s">
        <v>7455</v>
      </c>
      <c r="C1715" s="13" t="s">
        <v>143</v>
      </c>
      <c r="D1715" s="13" t="s">
        <v>7148</v>
      </c>
      <c r="E1715" s="13" t="s">
        <v>93</v>
      </c>
      <c r="F1715" s="13" t="s">
        <v>7456</v>
      </c>
      <c r="G1715" s="20" t="str">
        <f>HYPERLINK("https://semena-nn.ru/catalog/46/999000009521","Фото")</f>
        <v>Фото</v>
      </c>
      <c r="H1715" s="18">
        <v>85.7</v>
      </c>
      <c r="I1715" s="27"/>
      <c r="J1715" s="13">
        <f>H1715*I1715</f>
        <v>0</v>
      </c>
    </row>
    <row r="1716" spans="1:10" ht="12" customHeight="1">
      <c r="A1716" s="13" t="s">
        <v>7457</v>
      </c>
      <c r="B1716" s="13" t="s">
        <v>7458</v>
      </c>
      <c r="C1716" s="13" t="s">
        <v>143</v>
      </c>
      <c r="D1716" s="13" t="s">
        <v>7148</v>
      </c>
      <c r="E1716" s="13" t="s">
        <v>93</v>
      </c>
      <c r="F1716" s="13" t="s">
        <v>7459</v>
      </c>
      <c r="G1716" s="20" t="str">
        <f>HYPERLINK("https://semena-nn.ru/catalog/46/999000005874","Фото")</f>
        <v>Фото</v>
      </c>
      <c r="H1716" s="18">
        <v>95.8</v>
      </c>
      <c r="I1716" s="27"/>
      <c r="J1716" s="13">
        <f>H1716*I1716</f>
        <v>0</v>
      </c>
    </row>
    <row r="1717" spans="1:10" ht="12" customHeight="1">
      <c r="A1717" s="13" t="s">
        <v>8403</v>
      </c>
      <c r="B1717" s="13" t="s">
        <v>8404</v>
      </c>
      <c r="C1717" s="13" t="s">
        <v>143</v>
      </c>
      <c r="D1717" s="13" t="s">
        <v>8317</v>
      </c>
      <c r="E1717" s="13" t="s">
        <v>93</v>
      </c>
      <c r="F1717" s="13" t="s">
        <v>8405</v>
      </c>
      <c r="G1717" s="20" t="str">
        <f>HYPERLINK("https://semena-nn.ru/catalog/46/999000021429","Фото")</f>
        <v>Фото</v>
      </c>
      <c r="H1717" s="18">
        <v>71.7</v>
      </c>
      <c r="I1717" s="27"/>
      <c r="J1717" s="13">
        <f>H1717*I1717</f>
        <v>0</v>
      </c>
    </row>
    <row r="1718" spans="1:10" ht="12" customHeight="1">
      <c r="A1718" s="13" t="s">
        <v>7460</v>
      </c>
      <c r="B1718" s="13" t="s">
        <v>7461</v>
      </c>
      <c r="C1718" s="13" t="s">
        <v>143</v>
      </c>
      <c r="D1718" s="13" t="s">
        <v>7148</v>
      </c>
      <c r="E1718" s="13" t="s">
        <v>93</v>
      </c>
      <c r="F1718" s="13" t="s">
        <v>7462</v>
      </c>
      <c r="G1718" s="20" t="str">
        <f>HYPERLINK("http://semena-nn.ru/catalog/46/1314229","Фото")</f>
        <v>Фото</v>
      </c>
      <c r="H1718" s="18">
        <v>69.3</v>
      </c>
      <c r="I1718" s="27"/>
      <c r="J1718" s="13">
        <f>H1718*I1718</f>
        <v>0</v>
      </c>
    </row>
    <row r="1719" spans="1:10" ht="12" customHeight="1">
      <c r="A1719" s="13" t="s">
        <v>7463</v>
      </c>
      <c r="B1719" s="13" t="s">
        <v>7464</v>
      </c>
      <c r="C1719" s="13" t="s">
        <v>143</v>
      </c>
      <c r="D1719" s="13" t="s">
        <v>7148</v>
      </c>
      <c r="E1719" s="13" t="s">
        <v>93</v>
      </c>
      <c r="F1719" s="13" t="s">
        <v>7465</v>
      </c>
      <c r="G1719" s="20" t="str">
        <f>HYPERLINK("https://semena-nn.ru/catalog/46/1314230","Фото")</f>
        <v>Фото</v>
      </c>
      <c r="H1719" s="18">
        <v>55.5</v>
      </c>
      <c r="I1719" s="27"/>
      <c r="J1719" s="13">
        <f>H1719*I1719</f>
        <v>0</v>
      </c>
    </row>
    <row r="1720" spans="1:10" ht="12" customHeight="1">
      <c r="A1720" s="13" t="s">
        <v>5425</v>
      </c>
      <c r="B1720" s="13" t="s">
        <v>5426</v>
      </c>
      <c r="C1720" s="13" t="s">
        <v>143</v>
      </c>
      <c r="D1720" s="13" t="s">
        <v>5136</v>
      </c>
      <c r="E1720" s="13" t="s">
        <v>93</v>
      </c>
      <c r="F1720" s="13" t="s">
        <v>5427</v>
      </c>
      <c r="G1720" s="20" t="str">
        <f>HYPERLINK("https://semena-nn.ru/catalog/46/888000000135","Фото")</f>
        <v>Фото</v>
      </c>
      <c r="H1720" s="15">
        <v>75</v>
      </c>
      <c r="I1720" s="27"/>
      <c r="J1720" s="13">
        <f>H1720*I1720</f>
        <v>0</v>
      </c>
    </row>
    <row r="1721" spans="1:10" ht="12" customHeight="1">
      <c r="A1721" s="13" t="s">
        <v>5080</v>
      </c>
      <c r="B1721" s="13" t="s">
        <v>5081</v>
      </c>
      <c r="C1721" s="13" t="s">
        <v>143</v>
      </c>
      <c r="D1721" s="13" t="s">
        <v>5045</v>
      </c>
      <c r="E1721" s="13" t="s">
        <v>93</v>
      </c>
      <c r="F1721" s="13" t="s">
        <v>5082</v>
      </c>
      <c r="G1721" s="20" t="str">
        <f>HYPERLINK("http://semena-nn.ru/catalog/46/1015","Фото")</f>
        <v>Фото</v>
      </c>
      <c r="H1721" s="18">
        <v>26.5</v>
      </c>
      <c r="I1721" s="27"/>
      <c r="J1721" s="13">
        <f>H1721*I1721</f>
        <v>0</v>
      </c>
    </row>
    <row r="1722" spans="1:10" ht="12" customHeight="1">
      <c r="A1722" s="13" t="s">
        <v>7089</v>
      </c>
      <c r="B1722" s="13" t="s">
        <v>7090</v>
      </c>
      <c r="C1722" s="13" t="s">
        <v>143</v>
      </c>
      <c r="D1722" s="13" t="s">
        <v>6927</v>
      </c>
      <c r="E1722" s="13" t="s">
        <v>93</v>
      </c>
      <c r="F1722" s="13" t="s">
        <v>7091</v>
      </c>
      <c r="G1722" s="20" t="str">
        <f>HYPERLINK("https://semena-nn.ru/catalog/46/888000000308","Фото")</f>
        <v>Фото</v>
      </c>
      <c r="H1722" s="19">
        <v>38.450000000000003</v>
      </c>
      <c r="I1722" s="27"/>
      <c r="J1722" s="13">
        <f>H1722*I1722</f>
        <v>0</v>
      </c>
    </row>
    <row r="1723" spans="1:10" ht="12" customHeight="1">
      <c r="A1723" s="13" t="s">
        <v>5932</v>
      </c>
      <c r="B1723" s="13" t="s">
        <v>5933</v>
      </c>
      <c r="C1723" s="13" t="s">
        <v>143</v>
      </c>
      <c r="D1723" s="13" t="s">
        <v>5834</v>
      </c>
      <c r="E1723" s="13" t="s">
        <v>93</v>
      </c>
      <c r="F1723" s="13" t="s">
        <v>5934</v>
      </c>
      <c r="G1723" s="20" t="str">
        <f>HYPERLINK("https://semena-nn.ru/catalog/46/888000001563","Фото")</f>
        <v>Фото</v>
      </c>
      <c r="H1723" s="19">
        <v>13.76</v>
      </c>
      <c r="I1723" s="27"/>
      <c r="J1723" s="13">
        <f>H1723*I1723</f>
        <v>0</v>
      </c>
    </row>
    <row r="1724" spans="1:10" ht="12" customHeight="1">
      <c r="A1724" s="13" t="s">
        <v>1725</v>
      </c>
      <c r="B1724" s="13" t="s">
        <v>1726</v>
      </c>
      <c r="C1724" s="13" t="s">
        <v>143</v>
      </c>
      <c r="D1724" s="13" t="s">
        <v>697</v>
      </c>
      <c r="E1724" s="13" t="s">
        <v>93</v>
      </c>
      <c r="F1724" s="13" t="s">
        <v>1727</v>
      </c>
      <c r="G1724" s="20" t="str">
        <f>HYPERLINK("https://semena-nn.ru/catalog/46/1118239","Фото")</f>
        <v>Фото</v>
      </c>
      <c r="H1724" s="19">
        <v>29.75</v>
      </c>
      <c r="I1724" s="27"/>
      <c r="J1724" s="13">
        <f>H1724*I1724</f>
        <v>0</v>
      </c>
    </row>
    <row r="1725" spans="1:10" ht="12" customHeight="1">
      <c r="A1725" s="13" t="s">
        <v>460</v>
      </c>
      <c r="B1725" s="13" t="s">
        <v>461</v>
      </c>
      <c r="C1725" s="13" t="s">
        <v>143</v>
      </c>
      <c r="D1725" s="13" t="s">
        <v>28</v>
      </c>
      <c r="E1725" s="13" t="s">
        <v>93</v>
      </c>
      <c r="F1725" s="13" t="s">
        <v>462</v>
      </c>
      <c r="G1725" s="20" t="str">
        <f>HYPERLINK("https://semena-nn.ru/catalog/46/999000011221","Фото")</f>
        <v>Фото</v>
      </c>
      <c r="H1725" s="19">
        <v>31.29</v>
      </c>
      <c r="I1725" s="27"/>
      <c r="J1725" s="13">
        <f>H1725*I1725</f>
        <v>0</v>
      </c>
    </row>
    <row r="1726" spans="1:10" ht="12" customHeight="1">
      <c r="A1726" s="13" t="s">
        <v>7092</v>
      </c>
      <c r="B1726" s="13" t="s">
        <v>7093</v>
      </c>
      <c r="C1726" s="13" t="s">
        <v>143</v>
      </c>
      <c r="D1726" s="13" t="s">
        <v>6927</v>
      </c>
      <c r="E1726" s="13" t="s">
        <v>93</v>
      </c>
      <c r="F1726" s="13" t="s">
        <v>7094</v>
      </c>
      <c r="G1726" s="20" t="str">
        <f>HYPERLINK("https://semena-nn.ru/catalog/46/999000011674","Фото")</f>
        <v>Фото</v>
      </c>
      <c r="H1726" s="18">
        <v>31.3</v>
      </c>
      <c r="I1726" s="27"/>
      <c r="J1726" s="13">
        <f>H1726*I1726</f>
        <v>0</v>
      </c>
    </row>
    <row r="1727" spans="1:10" ht="12" customHeight="1">
      <c r="A1727" s="13" t="s">
        <v>8575</v>
      </c>
      <c r="B1727" s="13" t="s">
        <v>8576</v>
      </c>
      <c r="C1727" s="13" t="s">
        <v>143</v>
      </c>
      <c r="D1727" s="13" t="s">
        <v>8498</v>
      </c>
      <c r="E1727" s="13" t="s">
        <v>93</v>
      </c>
      <c r="F1727" s="13" t="s">
        <v>8577</v>
      </c>
      <c r="G1727" s="20" t="str">
        <f>HYPERLINK("https://semena-nn.ru/catalog/46/112388","Фото")</f>
        <v>Фото</v>
      </c>
      <c r="H1727" s="18">
        <v>29.3</v>
      </c>
      <c r="I1727" s="27"/>
      <c r="J1727" s="13">
        <f>H1727*I1727</f>
        <v>0</v>
      </c>
    </row>
    <row r="1728" spans="1:10" ht="12" customHeight="1">
      <c r="A1728" s="13" t="s">
        <v>7095</v>
      </c>
      <c r="B1728" s="13" t="s">
        <v>7096</v>
      </c>
      <c r="C1728" s="13" t="s">
        <v>143</v>
      </c>
      <c r="D1728" s="13" t="s">
        <v>6927</v>
      </c>
      <c r="E1728" s="13" t="s">
        <v>93</v>
      </c>
      <c r="F1728" s="13" t="s">
        <v>7097</v>
      </c>
      <c r="G1728" s="20" t="str">
        <f>HYPERLINK("https://semena-nn.ru/catalog/46/999000002280","Фото")</f>
        <v>Фото</v>
      </c>
      <c r="H1728" s="18">
        <v>41.8</v>
      </c>
      <c r="I1728" s="27"/>
      <c r="J1728" s="13">
        <f>H1728*I1728</f>
        <v>0</v>
      </c>
    </row>
    <row r="1729" spans="1:10" ht="12" customHeight="1">
      <c r="A1729" s="13" t="s">
        <v>5935</v>
      </c>
      <c r="B1729" s="13" t="s">
        <v>5936</v>
      </c>
      <c r="C1729" s="13" t="s">
        <v>143</v>
      </c>
      <c r="D1729" s="13" t="s">
        <v>5834</v>
      </c>
      <c r="E1729" s="13" t="s">
        <v>93</v>
      </c>
      <c r="F1729" s="13" t="s">
        <v>5937</v>
      </c>
      <c r="G1729" s="20" t="str">
        <f>HYPERLINK("https://semena-nn.ru/catalog/46/888000001564","Фото")</f>
        <v>Фото</v>
      </c>
      <c r="H1729" s="19">
        <v>36.65</v>
      </c>
      <c r="I1729" s="27"/>
      <c r="J1729" s="13">
        <f>H1729*I1729</f>
        <v>0</v>
      </c>
    </row>
    <row r="1730" spans="1:10" ht="12" customHeight="1">
      <c r="A1730" s="13" t="s">
        <v>463</v>
      </c>
      <c r="B1730" s="13" t="s">
        <v>464</v>
      </c>
      <c r="C1730" s="13" t="s">
        <v>143</v>
      </c>
      <c r="D1730" s="13" t="s">
        <v>28</v>
      </c>
      <c r="E1730" s="13" t="s">
        <v>93</v>
      </c>
      <c r="F1730" s="13" t="s">
        <v>465</v>
      </c>
      <c r="G1730" s="20" t="str">
        <f>HYPERLINK("https://semena-nn.ru/catalog/46/999000011222","Фото")</f>
        <v>Фото</v>
      </c>
      <c r="H1730" s="19">
        <v>28.88</v>
      </c>
      <c r="I1730" s="27"/>
      <c r="J1730" s="13">
        <f>H1730*I1730</f>
        <v>0</v>
      </c>
    </row>
    <row r="1731" spans="1:10" ht="12" customHeight="1">
      <c r="A1731" s="13" t="s">
        <v>8578</v>
      </c>
      <c r="B1731" s="13" t="s">
        <v>8579</v>
      </c>
      <c r="C1731" s="13" t="s">
        <v>143</v>
      </c>
      <c r="D1731" s="13" t="s">
        <v>8498</v>
      </c>
      <c r="E1731" s="13" t="s">
        <v>93</v>
      </c>
      <c r="F1731" s="13" t="s">
        <v>8580</v>
      </c>
      <c r="G1731" s="20" t="str">
        <f>HYPERLINK("http://semena-nn.ru/catalog/46/105613","Фото")</f>
        <v>Фото</v>
      </c>
      <c r="H1731" s="18">
        <v>28.3</v>
      </c>
      <c r="I1731" s="27"/>
      <c r="J1731" s="13">
        <f>H1731*I1731</f>
        <v>0</v>
      </c>
    </row>
    <row r="1732" spans="1:10" ht="12" customHeight="1">
      <c r="A1732" s="13" t="s">
        <v>7098</v>
      </c>
      <c r="B1732" s="13" t="s">
        <v>7099</v>
      </c>
      <c r="C1732" s="13" t="s">
        <v>143</v>
      </c>
      <c r="D1732" s="13" t="s">
        <v>6927</v>
      </c>
      <c r="E1732" s="13" t="s">
        <v>93</v>
      </c>
      <c r="F1732" s="13" t="s">
        <v>7100</v>
      </c>
      <c r="G1732" s="20" t="str">
        <f>HYPERLINK("http://semena-nn.ru/catalog/46/1310387","Фото")</f>
        <v>Фото</v>
      </c>
      <c r="H1732" s="18">
        <v>41.8</v>
      </c>
      <c r="I1732" s="27"/>
      <c r="J1732" s="13">
        <f>H1732*I1732</f>
        <v>0</v>
      </c>
    </row>
    <row r="1733" spans="1:10" ht="12" customHeight="1">
      <c r="A1733" s="13" t="s">
        <v>466</v>
      </c>
      <c r="B1733" s="13" t="s">
        <v>467</v>
      </c>
      <c r="C1733" s="13" t="s">
        <v>143</v>
      </c>
      <c r="D1733" s="13" t="s">
        <v>28</v>
      </c>
      <c r="E1733" s="13" t="s">
        <v>93</v>
      </c>
      <c r="F1733" s="13" t="s">
        <v>468</v>
      </c>
      <c r="G1733" s="20" t="str">
        <f>HYPERLINK("https://semena-nn.ru/catalog/46/888000000574","Фото")</f>
        <v>Фото</v>
      </c>
      <c r="H1733" s="19">
        <v>43.37</v>
      </c>
      <c r="I1733" s="27"/>
      <c r="J1733" s="13">
        <f>H1733*I1733</f>
        <v>0</v>
      </c>
    </row>
    <row r="1734" spans="1:10" ht="12" customHeight="1">
      <c r="A1734" s="13" t="s">
        <v>472</v>
      </c>
      <c r="B1734" s="13" t="s">
        <v>473</v>
      </c>
      <c r="C1734" s="13" t="s">
        <v>143</v>
      </c>
      <c r="D1734" s="13" t="s">
        <v>28</v>
      </c>
      <c r="E1734" s="13" t="s">
        <v>93</v>
      </c>
      <c r="F1734" s="13" t="s">
        <v>474</v>
      </c>
      <c r="G1734" s="20" t="str">
        <f>HYPERLINK("https://semena-nn.ru/catalog/46/999000011483","Фото")</f>
        <v>Фото</v>
      </c>
      <c r="H1734" s="19">
        <v>53.03</v>
      </c>
      <c r="I1734" s="27"/>
      <c r="J1734" s="13">
        <f>H1734*I1734</f>
        <v>0</v>
      </c>
    </row>
    <row r="1735" spans="1:10" ht="12" customHeight="1">
      <c r="A1735" s="13" t="s">
        <v>5083</v>
      </c>
      <c r="B1735" s="13" t="s">
        <v>5084</v>
      </c>
      <c r="C1735" s="13" t="s">
        <v>143</v>
      </c>
      <c r="D1735" s="13" t="s">
        <v>5045</v>
      </c>
      <c r="E1735" s="13" t="s">
        <v>93</v>
      </c>
      <c r="F1735" s="13" t="s">
        <v>5085</v>
      </c>
      <c r="G1735" s="20" t="str">
        <f>HYPERLINK("http://semena-nn.ru/catalog/46/99497","Фото")</f>
        <v>Фото</v>
      </c>
      <c r="H1735" s="18">
        <v>18.899999999999999</v>
      </c>
      <c r="I1735" s="27"/>
      <c r="J1735" s="13">
        <f>H1735*I1735</f>
        <v>0</v>
      </c>
    </row>
    <row r="1736" spans="1:10" ht="12" customHeight="1">
      <c r="A1736" s="13" t="s">
        <v>8171</v>
      </c>
      <c r="B1736" s="13" t="s">
        <v>8172</v>
      </c>
      <c r="C1736" s="13" t="s">
        <v>143</v>
      </c>
      <c r="D1736" s="13" t="s">
        <v>7728</v>
      </c>
      <c r="E1736" s="13" t="s">
        <v>93</v>
      </c>
      <c r="F1736" s="13" t="s">
        <v>8173</v>
      </c>
      <c r="G1736" s="20" t="str">
        <f>HYPERLINK("http://semena-nn.ru/catalog/46/1291367","Фото")</f>
        <v>Фото</v>
      </c>
      <c r="H1736" s="19">
        <v>48.85</v>
      </c>
      <c r="I1736" s="27"/>
      <c r="J1736" s="13">
        <f>H1736*I1736</f>
        <v>0</v>
      </c>
    </row>
    <row r="1737" spans="1:10" ht="12" customHeight="1">
      <c r="A1737" s="13" t="s">
        <v>6554</v>
      </c>
      <c r="B1737" s="13" t="s">
        <v>6555</v>
      </c>
      <c r="C1737" s="13" t="s">
        <v>143</v>
      </c>
      <c r="D1737" s="13" t="s">
        <v>87</v>
      </c>
      <c r="E1737" s="13" t="s">
        <v>93</v>
      </c>
      <c r="F1737" s="13" t="s">
        <v>6556</v>
      </c>
      <c r="G1737" s="20" t="str">
        <f>HYPERLINK("https://semena-nn.ru/catalog/46/96788","Фото")</f>
        <v>Фото</v>
      </c>
      <c r="H1737" s="18">
        <v>37.799999999999997</v>
      </c>
      <c r="I1737" s="27"/>
      <c r="J1737" s="13">
        <f>H1737*I1737</f>
        <v>0</v>
      </c>
    </row>
    <row r="1738" spans="1:10" ht="12" customHeight="1">
      <c r="A1738" s="13" t="s">
        <v>469</v>
      </c>
      <c r="B1738" s="13" t="s">
        <v>470</v>
      </c>
      <c r="C1738" s="13" t="s">
        <v>143</v>
      </c>
      <c r="D1738" s="13" t="s">
        <v>28</v>
      </c>
      <c r="E1738" s="13" t="s">
        <v>93</v>
      </c>
      <c r="F1738" s="13" t="s">
        <v>471</v>
      </c>
      <c r="G1738" s="20" t="str">
        <f>HYPERLINK("https://semena-nn.ru/catalog/46/999000011981","Фото")</f>
        <v>Фото</v>
      </c>
      <c r="H1738" s="19">
        <v>25.31</v>
      </c>
      <c r="I1738" s="27"/>
      <c r="J1738" s="13">
        <f>H1738*I1738</f>
        <v>0</v>
      </c>
    </row>
    <row r="1739" spans="1:10" ht="12" customHeight="1">
      <c r="A1739" s="13" t="s">
        <v>4201</v>
      </c>
      <c r="B1739" s="13" t="s">
        <v>4202</v>
      </c>
      <c r="C1739" s="13" t="s">
        <v>143</v>
      </c>
      <c r="D1739" s="13" t="s">
        <v>3475</v>
      </c>
      <c r="E1739" s="13" t="s">
        <v>93</v>
      </c>
      <c r="F1739" s="13" t="s">
        <v>4203</v>
      </c>
      <c r="G1739" s="20" t="str">
        <f>HYPERLINK("http://semena-nn.ru/catalog/46/80113","Фото")</f>
        <v>Фото</v>
      </c>
      <c r="H1739" s="18">
        <v>49.4</v>
      </c>
      <c r="I1739" s="27"/>
      <c r="J1739" s="13">
        <f>H1739*I1739</f>
        <v>0</v>
      </c>
    </row>
    <row r="1740" spans="1:10" ht="12" customHeight="1">
      <c r="A1740" s="13" t="s">
        <v>4204</v>
      </c>
      <c r="B1740" s="13" t="s">
        <v>4205</v>
      </c>
      <c r="C1740" s="13" t="s">
        <v>143</v>
      </c>
      <c r="D1740" s="13" t="s">
        <v>3475</v>
      </c>
      <c r="E1740" s="13" t="s">
        <v>93</v>
      </c>
      <c r="F1740" s="13" t="s">
        <v>4203</v>
      </c>
      <c r="G1740" s="20" t="str">
        <f>HYPERLINK("http://semena-nn.ru/catalog/46/1288428","Фото")</f>
        <v>Фото</v>
      </c>
      <c r="H1740" s="18">
        <v>71.2</v>
      </c>
      <c r="I1740" s="27"/>
      <c r="J1740" s="13">
        <f>H1740*I1740</f>
        <v>0</v>
      </c>
    </row>
    <row r="1741" spans="1:10" ht="12" customHeight="1">
      <c r="A1741" s="13" t="s">
        <v>8581</v>
      </c>
      <c r="B1741" s="13" t="s">
        <v>8582</v>
      </c>
      <c r="C1741" s="13" t="s">
        <v>143</v>
      </c>
      <c r="D1741" s="13" t="s">
        <v>8498</v>
      </c>
      <c r="E1741" s="13" t="s">
        <v>93</v>
      </c>
      <c r="F1741" s="13" t="s">
        <v>8583</v>
      </c>
      <c r="G1741" s="20" t="str">
        <f>HYPERLINK("http://www.semena-nn.ru/catalog/46/1285888","Фото")</f>
        <v>Фото</v>
      </c>
      <c r="H1741" s="18">
        <v>22.9</v>
      </c>
      <c r="I1741" s="27"/>
      <c r="J1741" s="13">
        <f>H1741*I1741</f>
        <v>0</v>
      </c>
    </row>
    <row r="1742" spans="1:10" ht="12" customHeight="1">
      <c r="A1742" s="13" t="s">
        <v>8406</v>
      </c>
      <c r="B1742" s="13" t="s">
        <v>8407</v>
      </c>
      <c r="C1742" s="13" t="s">
        <v>143</v>
      </c>
      <c r="D1742" s="13" t="s">
        <v>8317</v>
      </c>
      <c r="E1742" s="13" t="s">
        <v>93</v>
      </c>
      <c r="F1742" s="13" t="s">
        <v>8408</v>
      </c>
      <c r="G1742" s="20" t="str">
        <f>HYPERLINK("https://semena-nn.ru/catalog/46/888000000720","Фото")</f>
        <v>Фото</v>
      </c>
      <c r="H1742" s="18">
        <v>154.4</v>
      </c>
      <c r="I1742" s="27"/>
      <c r="J1742" s="13">
        <f>H1742*I1742</f>
        <v>0</v>
      </c>
    </row>
    <row r="1743" spans="1:10" ht="12" customHeight="1">
      <c r="A1743" s="13" t="s">
        <v>6557</v>
      </c>
      <c r="B1743" s="13" t="s">
        <v>6558</v>
      </c>
      <c r="C1743" s="13" t="s">
        <v>143</v>
      </c>
      <c r="D1743" s="13" t="s">
        <v>87</v>
      </c>
      <c r="E1743" s="13" t="s">
        <v>93</v>
      </c>
      <c r="F1743" s="13" t="s">
        <v>6559</v>
      </c>
      <c r="G1743" s="20" t="str">
        <f>HYPERLINK("https://semena-nn.ru/catalog/46/1307521","Фото")</f>
        <v>Фото</v>
      </c>
      <c r="H1743" s="19">
        <v>21.85</v>
      </c>
      <c r="I1743" s="27"/>
      <c r="J1743" s="13">
        <f>H1743*I1743</f>
        <v>0</v>
      </c>
    </row>
    <row r="1744" spans="1:10" ht="12" customHeight="1">
      <c r="A1744" s="13" t="s">
        <v>8584</v>
      </c>
      <c r="B1744" s="13" t="s">
        <v>8585</v>
      </c>
      <c r="C1744" s="13" t="s">
        <v>143</v>
      </c>
      <c r="D1744" s="13" t="s">
        <v>8498</v>
      </c>
      <c r="E1744" s="13" t="s">
        <v>93</v>
      </c>
      <c r="F1744" s="13" t="s">
        <v>8586</v>
      </c>
      <c r="G1744" s="20" t="str">
        <f>HYPERLINK("https://semena-nn.ru/catalog/46/1292049","Фото")</f>
        <v>Фото</v>
      </c>
      <c r="H1744" s="19">
        <v>21.25</v>
      </c>
      <c r="I1744" s="27"/>
      <c r="J1744" s="13">
        <f>H1744*I1744</f>
        <v>0</v>
      </c>
    </row>
    <row r="1745" spans="1:10" ht="12" customHeight="1">
      <c r="A1745" s="13" t="s">
        <v>4206</v>
      </c>
      <c r="B1745" s="13" t="s">
        <v>4207</v>
      </c>
      <c r="C1745" s="13" t="s">
        <v>143</v>
      </c>
      <c r="D1745" s="13" t="s">
        <v>3475</v>
      </c>
      <c r="E1745" s="13" t="s">
        <v>93</v>
      </c>
      <c r="F1745" s="13" t="s">
        <v>4208</v>
      </c>
      <c r="G1745" s="20" t="str">
        <f>HYPERLINK("https://semena-nn.ru/catalog/46/999000019897","Фото")</f>
        <v>Фото</v>
      </c>
      <c r="H1745" s="18">
        <v>23.5</v>
      </c>
      <c r="I1745" s="27"/>
      <c r="J1745" s="13">
        <f>H1745*I1745</f>
        <v>0</v>
      </c>
    </row>
    <row r="1746" spans="1:10" ht="12" customHeight="1">
      <c r="A1746" s="13" t="s">
        <v>475</v>
      </c>
      <c r="B1746" s="13" t="s">
        <v>476</v>
      </c>
      <c r="C1746" s="13" t="s">
        <v>143</v>
      </c>
      <c r="D1746" s="13" t="s">
        <v>28</v>
      </c>
      <c r="E1746" s="13" t="s">
        <v>93</v>
      </c>
      <c r="F1746" s="13" t="s">
        <v>477</v>
      </c>
      <c r="G1746" s="20" t="str">
        <f>HYPERLINK("https://semena-nn.ru/catalog/46/999000011718","Фото")</f>
        <v>Фото</v>
      </c>
      <c r="H1746" s="19">
        <v>123.38</v>
      </c>
      <c r="I1746" s="27"/>
      <c r="J1746" s="13">
        <f>H1746*I1746</f>
        <v>0</v>
      </c>
    </row>
    <row r="1747" spans="1:10" ht="12" customHeight="1">
      <c r="A1747" s="13" t="s">
        <v>7466</v>
      </c>
      <c r="B1747" s="13" t="s">
        <v>7467</v>
      </c>
      <c r="C1747" s="13" t="s">
        <v>143</v>
      </c>
      <c r="D1747" s="13" t="s">
        <v>7148</v>
      </c>
      <c r="E1747" s="13" t="s">
        <v>93</v>
      </c>
      <c r="F1747" s="13" t="s">
        <v>7468</v>
      </c>
      <c r="G1747" s="20" t="str">
        <f>HYPERLINK("https://semena-nn.ru/catalog/46/999000007899","Фото")</f>
        <v>Фото</v>
      </c>
      <c r="H1747" s="18">
        <v>85.7</v>
      </c>
      <c r="I1747" s="27"/>
      <c r="J1747" s="13">
        <f>H1747*I1747</f>
        <v>0</v>
      </c>
    </row>
    <row r="1748" spans="1:10" ht="12" customHeight="1">
      <c r="A1748" s="13" t="s">
        <v>6312</v>
      </c>
      <c r="B1748" s="13" t="s">
        <v>6313</v>
      </c>
      <c r="C1748" s="13" t="s">
        <v>143</v>
      </c>
      <c r="D1748" s="13" t="s">
        <v>6295</v>
      </c>
      <c r="E1748" s="13" t="s">
        <v>93</v>
      </c>
      <c r="F1748" s="13" t="s">
        <v>6314</v>
      </c>
      <c r="G1748" s="20" t="str">
        <f>HYPERLINK("https://semena-nn.ru/catalog/46/999000005595","Фото")</f>
        <v>Фото</v>
      </c>
      <c r="H1748" s="18">
        <v>199.5</v>
      </c>
      <c r="I1748" s="27"/>
      <c r="J1748" s="13">
        <f>H1748*I1748</f>
        <v>0</v>
      </c>
    </row>
    <row r="1749" spans="1:10" ht="12" customHeight="1">
      <c r="A1749" s="13" t="s">
        <v>8174</v>
      </c>
      <c r="B1749" s="13" t="s">
        <v>8175</v>
      </c>
      <c r="C1749" s="13" t="s">
        <v>143</v>
      </c>
      <c r="D1749" s="13" t="s">
        <v>7728</v>
      </c>
      <c r="E1749" s="13" t="s">
        <v>93</v>
      </c>
      <c r="F1749" s="13" t="s">
        <v>8176</v>
      </c>
      <c r="G1749" s="20" t="str">
        <f>HYPERLINK("https://semena-nn.ru/catalog/46/1312864","Фото")</f>
        <v>Фото</v>
      </c>
      <c r="H1749" s="18">
        <v>54.8</v>
      </c>
      <c r="I1749" s="27"/>
      <c r="J1749" s="13">
        <f>H1749*I1749</f>
        <v>0</v>
      </c>
    </row>
    <row r="1750" spans="1:10" ht="12" customHeight="1">
      <c r="A1750" s="13" t="s">
        <v>4209</v>
      </c>
      <c r="B1750" s="13" t="s">
        <v>4210</v>
      </c>
      <c r="C1750" s="13" t="s">
        <v>143</v>
      </c>
      <c r="D1750" s="13" t="s">
        <v>3475</v>
      </c>
      <c r="E1750" s="13" t="s">
        <v>93</v>
      </c>
      <c r="F1750" s="13" t="s">
        <v>4211</v>
      </c>
      <c r="G1750" s="20" t="str">
        <f>HYPERLINK("https://semena-nn.ru/catalog/46/999000012013","Фото")</f>
        <v>Фото</v>
      </c>
      <c r="H1750" s="19">
        <v>32.950000000000003</v>
      </c>
      <c r="I1750" s="27"/>
      <c r="J1750" s="13">
        <f>H1750*I1750</f>
        <v>0</v>
      </c>
    </row>
    <row r="1751" spans="1:10" ht="12" customHeight="1">
      <c r="A1751" s="13" t="s">
        <v>4212</v>
      </c>
      <c r="B1751" s="13" t="s">
        <v>4213</v>
      </c>
      <c r="C1751" s="13" t="s">
        <v>143</v>
      </c>
      <c r="D1751" s="13" t="s">
        <v>3475</v>
      </c>
      <c r="E1751" s="13" t="s">
        <v>93</v>
      </c>
      <c r="F1751" s="13" t="s">
        <v>4214</v>
      </c>
      <c r="G1751" s="20" t="str">
        <f>HYPERLINK("https://semena-nn.ru/catalog/46/999000011635","Фото")</f>
        <v>Фото</v>
      </c>
      <c r="H1751" s="19">
        <v>32.950000000000003</v>
      </c>
      <c r="I1751" s="27"/>
      <c r="J1751" s="13">
        <f>H1751*I1751</f>
        <v>0</v>
      </c>
    </row>
    <row r="1752" spans="1:10" ht="12" customHeight="1">
      <c r="A1752" s="13" t="s">
        <v>8177</v>
      </c>
      <c r="B1752" s="13" t="s">
        <v>8178</v>
      </c>
      <c r="C1752" s="13" t="s">
        <v>143</v>
      </c>
      <c r="D1752" s="13" t="s">
        <v>7728</v>
      </c>
      <c r="E1752" s="13" t="s">
        <v>93</v>
      </c>
      <c r="F1752" s="13" t="s">
        <v>8179</v>
      </c>
      <c r="G1752" s="20" t="str">
        <f>HYPERLINK("https://semena-nn.ru/catalog/46/999000002383","Фото")</f>
        <v>Фото</v>
      </c>
      <c r="H1752" s="18">
        <v>29.1</v>
      </c>
      <c r="I1752" s="27"/>
      <c r="J1752" s="13">
        <f>H1752*I1752</f>
        <v>0</v>
      </c>
    </row>
    <row r="1753" spans="1:10" ht="12" customHeight="1">
      <c r="A1753" s="13" t="s">
        <v>8180</v>
      </c>
      <c r="B1753" s="13" t="s">
        <v>8181</v>
      </c>
      <c r="C1753" s="13" t="s">
        <v>143</v>
      </c>
      <c r="D1753" s="13" t="s">
        <v>7728</v>
      </c>
      <c r="E1753" s="13" t="s">
        <v>93</v>
      </c>
      <c r="F1753" s="13" t="s">
        <v>8182</v>
      </c>
      <c r="G1753" s="20" t="str">
        <f>HYPERLINK("https://semena-nn.ru/catalog/46/1314093","Фото")</f>
        <v>Фото</v>
      </c>
      <c r="H1753" s="15">
        <v>35</v>
      </c>
      <c r="I1753" s="27"/>
      <c r="J1753" s="13">
        <f>H1753*I1753</f>
        <v>0</v>
      </c>
    </row>
    <row r="1754" spans="1:10" ht="12" customHeight="1">
      <c r="A1754" s="13" t="s">
        <v>8183</v>
      </c>
      <c r="B1754" s="13" t="s">
        <v>8184</v>
      </c>
      <c r="C1754" s="13" t="s">
        <v>143</v>
      </c>
      <c r="D1754" s="13" t="s">
        <v>7728</v>
      </c>
      <c r="E1754" s="13" t="s">
        <v>93</v>
      </c>
      <c r="F1754" s="13" t="s">
        <v>8185</v>
      </c>
      <c r="G1754" s="20" t="str">
        <f>HYPERLINK("http://semena-nn.ru/catalog/46/999000004078","Фото")</f>
        <v>Фото</v>
      </c>
      <c r="H1754" s="18">
        <v>43.2</v>
      </c>
      <c r="I1754" s="27"/>
      <c r="J1754" s="13">
        <f>H1754*I1754</f>
        <v>0</v>
      </c>
    </row>
    <row r="1755" spans="1:10" ht="12" customHeight="1">
      <c r="A1755" s="13" t="s">
        <v>8409</v>
      </c>
      <c r="B1755" s="13" t="s">
        <v>8410</v>
      </c>
      <c r="C1755" s="13" t="s">
        <v>143</v>
      </c>
      <c r="D1755" s="13" t="s">
        <v>8317</v>
      </c>
      <c r="E1755" s="13" t="s">
        <v>93</v>
      </c>
      <c r="F1755" s="13" t="s">
        <v>8411</v>
      </c>
      <c r="G1755" s="20" t="str">
        <f>HYPERLINK("http://semena-nn.ru/catalog/46/1303090","Фото")</f>
        <v>Фото</v>
      </c>
      <c r="H1755" s="18">
        <v>137.80000000000001</v>
      </c>
      <c r="I1755" s="27"/>
      <c r="J1755" s="13">
        <f>H1755*I1755</f>
        <v>0</v>
      </c>
    </row>
    <row r="1756" spans="1:10" ht="12" customHeight="1">
      <c r="A1756" s="13" t="s">
        <v>7469</v>
      </c>
      <c r="B1756" s="13" t="s">
        <v>7470</v>
      </c>
      <c r="C1756" s="13" t="s">
        <v>143</v>
      </c>
      <c r="D1756" s="13" t="s">
        <v>7148</v>
      </c>
      <c r="E1756" s="13" t="s">
        <v>93</v>
      </c>
      <c r="F1756" s="13" t="s">
        <v>7471</v>
      </c>
      <c r="G1756" s="20" t="str">
        <f>HYPERLINK("http://semena-nn.ru/catalog/46/1313057","Фото")</f>
        <v>Фото</v>
      </c>
      <c r="H1756" s="18">
        <v>75.599999999999994</v>
      </c>
      <c r="I1756" s="27"/>
      <c r="J1756" s="13">
        <f>H1756*I1756</f>
        <v>0</v>
      </c>
    </row>
    <row r="1757" spans="1:10" ht="12" customHeight="1">
      <c r="A1757" s="13" t="s">
        <v>8412</v>
      </c>
      <c r="B1757" s="13" t="s">
        <v>8413</v>
      </c>
      <c r="C1757" s="13" t="s">
        <v>143</v>
      </c>
      <c r="D1757" s="13" t="s">
        <v>8317</v>
      </c>
      <c r="E1757" s="13" t="s">
        <v>93</v>
      </c>
      <c r="F1757" s="13" t="s">
        <v>8414</v>
      </c>
      <c r="G1757" s="20" t="str">
        <f>HYPERLINK("https://semena-nn.ru/catalog/46/1299444","Фото")</f>
        <v>Фото</v>
      </c>
      <c r="H1757" s="15">
        <v>105</v>
      </c>
      <c r="I1757" s="27"/>
      <c r="J1757" s="13">
        <f>H1757*I1757</f>
        <v>0</v>
      </c>
    </row>
    <row r="1758" spans="1:10" ht="12" customHeight="1">
      <c r="A1758" s="13" t="s">
        <v>7472</v>
      </c>
      <c r="B1758" s="13" t="s">
        <v>7473</v>
      </c>
      <c r="C1758" s="13" t="s">
        <v>143</v>
      </c>
      <c r="D1758" s="13" t="s">
        <v>7148</v>
      </c>
      <c r="E1758" s="13" t="s">
        <v>93</v>
      </c>
      <c r="F1758" s="13" t="s">
        <v>7474</v>
      </c>
      <c r="G1758" s="20" t="str">
        <f>HYPERLINK("https://semena-nn.ru/catalog/46/1313058","Фото")</f>
        <v>Фото</v>
      </c>
      <c r="H1758" s="18">
        <v>52.7</v>
      </c>
      <c r="I1758" s="27"/>
      <c r="J1758" s="13">
        <f>H1758*I1758</f>
        <v>0</v>
      </c>
    </row>
    <row r="1759" spans="1:10" ht="12" customHeight="1">
      <c r="A1759" s="13" t="s">
        <v>5428</v>
      </c>
      <c r="B1759" s="13" t="s">
        <v>5429</v>
      </c>
      <c r="C1759" s="13" t="s">
        <v>143</v>
      </c>
      <c r="D1759" s="13" t="s">
        <v>5136</v>
      </c>
      <c r="E1759" s="13" t="s">
        <v>93</v>
      </c>
      <c r="F1759" s="13" t="s">
        <v>5430</v>
      </c>
      <c r="G1759" s="20" t="str">
        <f>HYPERLINK("https://semena-nn.ru/catalog/46/999000013237","Фото")</f>
        <v>Фото</v>
      </c>
      <c r="H1759" s="18">
        <v>64.099999999999994</v>
      </c>
      <c r="I1759" s="27"/>
      <c r="J1759" s="13">
        <f>H1759*I1759</f>
        <v>0</v>
      </c>
    </row>
    <row r="1760" spans="1:10" ht="12" customHeight="1">
      <c r="A1760" s="13" t="s">
        <v>478</v>
      </c>
      <c r="B1760" s="13" t="s">
        <v>479</v>
      </c>
      <c r="C1760" s="13" t="s">
        <v>143</v>
      </c>
      <c r="D1760" s="13" t="s">
        <v>28</v>
      </c>
      <c r="E1760" s="13" t="s">
        <v>93</v>
      </c>
      <c r="F1760" s="13" t="s">
        <v>480</v>
      </c>
      <c r="G1760" s="20" t="str">
        <f>HYPERLINK("https://semena-nn.ru/catalog/46/888000000227","Фото")</f>
        <v>Фото</v>
      </c>
      <c r="H1760" s="19">
        <v>60.27</v>
      </c>
      <c r="I1760" s="27"/>
      <c r="J1760" s="13">
        <f>H1760*I1760</f>
        <v>0</v>
      </c>
    </row>
    <row r="1761" spans="1:10" ht="12" customHeight="1">
      <c r="A1761" s="13" t="s">
        <v>4215</v>
      </c>
      <c r="B1761" s="13" t="s">
        <v>4216</v>
      </c>
      <c r="C1761" s="13" t="s">
        <v>143</v>
      </c>
      <c r="D1761" s="13" t="s">
        <v>3475</v>
      </c>
      <c r="E1761" s="13" t="s">
        <v>93</v>
      </c>
      <c r="F1761" s="13" t="s">
        <v>4217</v>
      </c>
      <c r="G1761" s="20" t="str">
        <f>HYPERLINK("http://semena-nn.ru/catalog/46/102355","Фото")</f>
        <v>Фото</v>
      </c>
      <c r="H1761" s="18">
        <v>55.3</v>
      </c>
      <c r="I1761" s="27"/>
      <c r="J1761" s="13">
        <f>H1761*I1761</f>
        <v>0</v>
      </c>
    </row>
    <row r="1762" spans="1:10" ht="12" customHeight="1">
      <c r="A1762" s="13" t="s">
        <v>8920</v>
      </c>
      <c r="B1762" s="13" t="s">
        <v>8921</v>
      </c>
      <c r="C1762" s="13" t="s">
        <v>143</v>
      </c>
      <c r="D1762" s="13" t="s">
        <v>8717</v>
      </c>
      <c r="E1762" s="13" t="s">
        <v>93</v>
      </c>
      <c r="F1762" s="13" t="s">
        <v>8922</v>
      </c>
      <c r="G1762" s="20" t="str">
        <f>HYPERLINK("http://www.semena-nn.ru/catalog/46/1303767","Фото")</f>
        <v>Фото</v>
      </c>
      <c r="H1762" s="19">
        <v>37.549999999999997</v>
      </c>
      <c r="I1762" s="27"/>
      <c r="J1762" s="13">
        <f>H1762*I1762</f>
        <v>0</v>
      </c>
    </row>
    <row r="1763" spans="1:10" ht="12" customHeight="1">
      <c r="A1763" s="13" t="s">
        <v>8415</v>
      </c>
      <c r="B1763" s="13" t="s">
        <v>8416</v>
      </c>
      <c r="C1763" s="13" t="s">
        <v>143</v>
      </c>
      <c r="D1763" s="13" t="s">
        <v>8317</v>
      </c>
      <c r="E1763" s="13" t="s">
        <v>93</v>
      </c>
      <c r="F1763" s="13" t="s">
        <v>8417</v>
      </c>
      <c r="G1763" s="20" t="str">
        <f>HYPERLINK("http://semena-nn.ru/catalog/46/1310542","Фото")</f>
        <v>Фото</v>
      </c>
      <c r="H1763" s="18">
        <v>143.30000000000001</v>
      </c>
      <c r="I1763" s="27"/>
      <c r="J1763" s="13">
        <f>H1763*I1763</f>
        <v>0</v>
      </c>
    </row>
    <row r="1764" spans="1:10" ht="12" customHeight="1">
      <c r="A1764" s="13" t="s">
        <v>481</v>
      </c>
      <c r="B1764" s="13" t="s">
        <v>482</v>
      </c>
      <c r="C1764" s="13" t="s">
        <v>143</v>
      </c>
      <c r="D1764" s="13" t="s">
        <v>28</v>
      </c>
      <c r="E1764" s="13" t="s">
        <v>93</v>
      </c>
      <c r="F1764" s="13" t="s">
        <v>483</v>
      </c>
      <c r="G1764" s="20" t="str">
        <f>HYPERLINK("https://semena-nn.ru/catalog/46/999000011498","Фото")</f>
        <v>Фото</v>
      </c>
      <c r="H1764" s="19">
        <v>25.31</v>
      </c>
      <c r="I1764" s="27"/>
      <c r="J1764" s="13">
        <f>H1764*I1764</f>
        <v>0</v>
      </c>
    </row>
    <row r="1765" spans="1:10" ht="12" customHeight="1">
      <c r="A1765" s="13" t="s">
        <v>484</v>
      </c>
      <c r="B1765" s="13" t="s">
        <v>485</v>
      </c>
      <c r="C1765" s="13" t="s">
        <v>143</v>
      </c>
      <c r="D1765" s="13" t="s">
        <v>28</v>
      </c>
      <c r="E1765" s="13" t="s">
        <v>93</v>
      </c>
      <c r="F1765" s="13" t="s">
        <v>486</v>
      </c>
      <c r="G1765" s="20" t="str">
        <f>HYPERLINK("https://semena-nn.ru/catalog/46/999000011499","Фото")</f>
        <v>Фото</v>
      </c>
      <c r="H1765" s="19">
        <v>28.88</v>
      </c>
      <c r="I1765" s="27"/>
      <c r="J1765" s="13">
        <f>H1765*I1765</f>
        <v>0</v>
      </c>
    </row>
    <row r="1766" spans="1:10" ht="12" customHeight="1">
      <c r="A1766" s="13" t="s">
        <v>487</v>
      </c>
      <c r="B1766" s="13" t="s">
        <v>488</v>
      </c>
      <c r="C1766" s="13" t="s">
        <v>143</v>
      </c>
      <c r="D1766" s="13" t="s">
        <v>28</v>
      </c>
      <c r="E1766" s="13" t="s">
        <v>93</v>
      </c>
      <c r="F1766" s="13" t="s">
        <v>489</v>
      </c>
      <c r="G1766" s="20" t="str">
        <f>HYPERLINK("https://semena-nn.ru/catalog/46/999000020343","Фото")</f>
        <v>Фото</v>
      </c>
      <c r="H1766" s="19">
        <v>26.78</v>
      </c>
      <c r="I1766" s="27"/>
      <c r="J1766" s="13">
        <f>H1766*I1766</f>
        <v>0</v>
      </c>
    </row>
    <row r="1767" spans="1:10" ht="12" customHeight="1">
      <c r="A1767" s="13" t="s">
        <v>6560</v>
      </c>
      <c r="B1767" s="13" t="s">
        <v>6561</v>
      </c>
      <c r="C1767" s="13" t="s">
        <v>143</v>
      </c>
      <c r="D1767" s="13" t="s">
        <v>87</v>
      </c>
      <c r="E1767" s="13" t="s">
        <v>93</v>
      </c>
      <c r="F1767" s="13" t="s">
        <v>6562</v>
      </c>
      <c r="G1767" s="20" t="str">
        <f>HYPERLINK("https://semena-nn.ru/catalog/46/999000011299","Фото")</f>
        <v>Фото</v>
      </c>
      <c r="H1767" s="18">
        <v>33.6</v>
      </c>
      <c r="I1767" s="27"/>
      <c r="J1767" s="13">
        <f>H1767*I1767</f>
        <v>0</v>
      </c>
    </row>
    <row r="1768" spans="1:10" ht="12" customHeight="1">
      <c r="A1768" s="13" t="s">
        <v>490</v>
      </c>
      <c r="B1768" s="13" t="s">
        <v>491</v>
      </c>
      <c r="C1768" s="13" t="s">
        <v>143</v>
      </c>
      <c r="D1768" s="13" t="s">
        <v>28</v>
      </c>
      <c r="E1768" s="13" t="s">
        <v>93</v>
      </c>
      <c r="F1768" s="13" t="s">
        <v>492</v>
      </c>
      <c r="G1768" s="20" t="str">
        <f>HYPERLINK("https://semena-nn.ru/catalog/46/999000011501","Фото")</f>
        <v>Фото</v>
      </c>
      <c r="H1768" s="19">
        <v>28.88</v>
      </c>
      <c r="I1768" s="27"/>
      <c r="J1768" s="13">
        <f>H1768*I1768</f>
        <v>0</v>
      </c>
    </row>
    <row r="1769" spans="1:10" ht="12" customHeight="1">
      <c r="A1769" s="13" t="s">
        <v>6563</v>
      </c>
      <c r="B1769" s="13" t="s">
        <v>6564</v>
      </c>
      <c r="C1769" s="13" t="s">
        <v>143</v>
      </c>
      <c r="D1769" s="13" t="s">
        <v>87</v>
      </c>
      <c r="E1769" s="13" t="s">
        <v>93</v>
      </c>
      <c r="F1769" s="13" t="s">
        <v>6565</v>
      </c>
      <c r="G1769" s="20" t="str">
        <f>HYPERLINK("https://semena-nn.ru/catalog/46/888000001648","Фото")</f>
        <v>Фото</v>
      </c>
      <c r="H1769" s="18">
        <v>23.1</v>
      </c>
      <c r="I1769" s="27"/>
      <c r="J1769" s="13">
        <f>H1769*I1769</f>
        <v>0</v>
      </c>
    </row>
    <row r="1770" spans="1:10" ht="12" customHeight="1">
      <c r="A1770" s="13" t="s">
        <v>4218</v>
      </c>
      <c r="B1770" s="13" t="s">
        <v>4219</v>
      </c>
      <c r="C1770" s="13" t="s">
        <v>143</v>
      </c>
      <c r="D1770" s="13" t="s">
        <v>3475</v>
      </c>
      <c r="E1770" s="13" t="s">
        <v>93</v>
      </c>
      <c r="F1770" s="13" t="s">
        <v>4220</v>
      </c>
      <c r="G1770" s="20" t="str">
        <f>HYPERLINK("https://semena-nn.ru/catalog/46/1308012","Фото")</f>
        <v>Фото</v>
      </c>
      <c r="H1770" s="19">
        <v>32.950000000000003</v>
      </c>
      <c r="I1770" s="27"/>
      <c r="J1770" s="13">
        <f>H1770*I1770</f>
        <v>0</v>
      </c>
    </row>
    <row r="1771" spans="1:10" ht="12" customHeight="1">
      <c r="A1771" s="13" t="s">
        <v>7475</v>
      </c>
      <c r="B1771" s="13" t="s">
        <v>7476</v>
      </c>
      <c r="C1771" s="13" t="s">
        <v>143</v>
      </c>
      <c r="D1771" s="13" t="s">
        <v>7148</v>
      </c>
      <c r="E1771" s="13" t="s">
        <v>93</v>
      </c>
      <c r="F1771" s="13" t="s">
        <v>7477</v>
      </c>
      <c r="G1771" s="20" t="str">
        <f>HYPERLINK("https://semena-nn.ru/catalog/46/888000000357","Фото")</f>
        <v>Фото</v>
      </c>
      <c r="H1771" s="18">
        <v>65.5</v>
      </c>
      <c r="I1771" s="27"/>
      <c r="J1771" s="13">
        <f>H1771*I1771</f>
        <v>0</v>
      </c>
    </row>
    <row r="1772" spans="1:10" ht="12" customHeight="1">
      <c r="A1772" s="13" t="s">
        <v>7478</v>
      </c>
      <c r="B1772" s="13" t="s">
        <v>7479</v>
      </c>
      <c r="C1772" s="13" t="s">
        <v>143</v>
      </c>
      <c r="D1772" s="13" t="s">
        <v>7148</v>
      </c>
      <c r="E1772" s="13" t="s">
        <v>93</v>
      </c>
      <c r="F1772" s="13"/>
      <c r="G1772" s="13"/>
      <c r="H1772" s="18">
        <v>75.599999999999994</v>
      </c>
      <c r="I1772" s="27"/>
      <c r="J1772" s="13">
        <f>H1772*I1772</f>
        <v>0</v>
      </c>
    </row>
    <row r="1773" spans="1:10" ht="12" customHeight="1">
      <c r="A1773" s="13" t="s">
        <v>7480</v>
      </c>
      <c r="B1773" s="13" t="s">
        <v>7481</v>
      </c>
      <c r="C1773" s="13" t="s">
        <v>143</v>
      </c>
      <c r="D1773" s="13" t="s">
        <v>7148</v>
      </c>
      <c r="E1773" s="13" t="s">
        <v>93</v>
      </c>
      <c r="F1773" s="13"/>
      <c r="G1773" s="13"/>
      <c r="H1773" s="18">
        <v>95.8</v>
      </c>
      <c r="I1773" s="27"/>
      <c r="J1773" s="13">
        <f>H1773*I1773</f>
        <v>0</v>
      </c>
    </row>
    <row r="1774" spans="1:10" ht="12" customHeight="1">
      <c r="A1774" s="13" t="s">
        <v>7482</v>
      </c>
      <c r="B1774" s="13" t="s">
        <v>7483</v>
      </c>
      <c r="C1774" s="13" t="s">
        <v>143</v>
      </c>
      <c r="D1774" s="13" t="s">
        <v>7148</v>
      </c>
      <c r="E1774" s="13" t="s">
        <v>93</v>
      </c>
      <c r="F1774" s="13" t="s">
        <v>7484</v>
      </c>
      <c r="G1774" s="20" t="str">
        <f>HYPERLINK("https://semena-nn.ru/catalog/46/999000013104","Фото")</f>
        <v>Фото</v>
      </c>
      <c r="H1774" s="18">
        <v>95.8</v>
      </c>
      <c r="I1774" s="27"/>
      <c r="J1774" s="13">
        <f>H1774*I1774</f>
        <v>0</v>
      </c>
    </row>
    <row r="1775" spans="1:10" ht="12" customHeight="1">
      <c r="A1775" s="13" t="s">
        <v>7485</v>
      </c>
      <c r="B1775" s="13" t="s">
        <v>7486</v>
      </c>
      <c r="C1775" s="13" t="s">
        <v>143</v>
      </c>
      <c r="D1775" s="13" t="s">
        <v>7148</v>
      </c>
      <c r="E1775" s="13" t="s">
        <v>93</v>
      </c>
      <c r="F1775" s="13" t="s">
        <v>7487</v>
      </c>
      <c r="G1775" s="20" t="str">
        <f>HYPERLINK("https://semena-nn.ru/catalog/46/888000001658","Фото")</f>
        <v>Фото</v>
      </c>
      <c r="H1775" s="18">
        <v>65.5</v>
      </c>
      <c r="I1775" s="27"/>
      <c r="J1775" s="13">
        <f>H1775*I1775</f>
        <v>0</v>
      </c>
    </row>
    <row r="1776" spans="1:10" ht="12" customHeight="1">
      <c r="A1776" s="13" t="s">
        <v>493</v>
      </c>
      <c r="B1776" s="13" t="s">
        <v>494</v>
      </c>
      <c r="C1776" s="13" t="s">
        <v>143</v>
      </c>
      <c r="D1776" s="13" t="s">
        <v>28</v>
      </c>
      <c r="E1776" s="13" t="s">
        <v>93</v>
      </c>
      <c r="F1776" s="13" t="s">
        <v>495</v>
      </c>
      <c r="G1776" s="20" t="str">
        <f>HYPERLINK("https://semena-nn.ru/catalog/46/999000011502","Фото")</f>
        <v>Фото</v>
      </c>
      <c r="H1776" s="19">
        <v>33.71</v>
      </c>
      <c r="I1776" s="27"/>
      <c r="J1776" s="13">
        <f>H1776*I1776</f>
        <v>0</v>
      </c>
    </row>
    <row r="1777" spans="1:10" ht="12" customHeight="1">
      <c r="A1777" s="13" t="s">
        <v>4221</v>
      </c>
      <c r="B1777" s="13" t="s">
        <v>4222</v>
      </c>
      <c r="C1777" s="13" t="s">
        <v>143</v>
      </c>
      <c r="D1777" s="13" t="s">
        <v>3475</v>
      </c>
      <c r="E1777" s="13" t="s">
        <v>93</v>
      </c>
      <c r="F1777" s="13" t="s">
        <v>4223</v>
      </c>
      <c r="G1777" s="20" t="str">
        <f>HYPERLINK("http://semena-nn.ru/catalog/46/1290212","Фото")</f>
        <v>Фото</v>
      </c>
      <c r="H1777" s="19">
        <v>32.950000000000003</v>
      </c>
      <c r="I1777" s="27"/>
      <c r="J1777" s="13">
        <f>H1777*I1777</f>
        <v>0</v>
      </c>
    </row>
    <row r="1778" spans="1:10" ht="12" customHeight="1">
      <c r="A1778" s="13" t="s">
        <v>1728</v>
      </c>
      <c r="B1778" s="13" t="s">
        <v>1729</v>
      </c>
      <c r="C1778" s="13" t="s">
        <v>143</v>
      </c>
      <c r="D1778" s="13" t="s">
        <v>697</v>
      </c>
      <c r="E1778" s="13" t="s">
        <v>93</v>
      </c>
      <c r="F1778" s="13" t="s">
        <v>1730</v>
      </c>
      <c r="G1778" s="20" t="str">
        <f>HYPERLINK("https://semena-nn.ru/catalog/46/999000012067","Фото")</f>
        <v>Фото</v>
      </c>
      <c r="H1778" s="18">
        <v>34.5</v>
      </c>
      <c r="I1778" s="27"/>
      <c r="J1778" s="13">
        <f>H1778*I1778</f>
        <v>0</v>
      </c>
    </row>
    <row r="1779" spans="1:10" ht="12" customHeight="1">
      <c r="A1779" s="13" t="s">
        <v>1731</v>
      </c>
      <c r="B1779" s="13" t="s">
        <v>1732</v>
      </c>
      <c r="C1779" s="13" t="s">
        <v>143</v>
      </c>
      <c r="D1779" s="13" t="s">
        <v>697</v>
      </c>
      <c r="E1779" s="13" t="s">
        <v>93</v>
      </c>
      <c r="F1779" s="13" t="s">
        <v>1733</v>
      </c>
      <c r="G1779" s="20" t="str">
        <f>HYPERLINK("https://semena-nn.ru/catalog/46/888000000275","Фото")</f>
        <v>Фото</v>
      </c>
      <c r="H1779" s="18">
        <v>19.899999999999999</v>
      </c>
      <c r="I1779" s="27"/>
      <c r="J1779" s="13">
        <f>H1779*I1779</f>
        <v>0</v>
      </c>
    </row>
    <row r="1780" spans="1:10" ht="12" customHeight="1">
      <c r="A1780" s="13" t="s">
        <v>7488</v>
      </c>
      <c r="B1780" s="13" t="s">
        <v>7489</v>
      </c>
      <c r="C1780" s="13" t="s">
        <v>143</v>
      </c>
      <c r="D1780" s="13" t="s">
        <v>7148</v>
      </c>
      <c r="E1780" s="13" t="s">
        <v>93</v>
      </c>
      <c r="F1780" s="13" t="s">
        <v>7490</v>
      </c>
      <c r="G1780" s="20" t="str">
        <f>HYPERLINK("https://semena-nn.ru/catalog/46/999000007985","Фото")</f>
        <v>Фото</v>
      </c>
      <c r="H1780" s="18">
        <v>191.5</v>
      </c>
      <c r="I1780" s="27"/>
      <c r="J1780" s="13">
        <f>H1780*I1780</f>
        <v>0</v>
      </c>
    </row>
    <row r="1781" spans="1:10" ht="12" customHeight="1">
      <c r="A1781" s="13" t="s">
        <v>157</v>
      </c>
      <c r="B1781" s="13" t="s">
        <v>158</v>
      </c>
      <c r="C1781" s="13" t="s">
        <v>143</v>
      </c>
      <c r="D1781" s="13" t="s">
        <v>92</v>
      </c>
      <c r="E1781" s="13" t="s">
        <v>93</v>
      </c>
      <c r="F1781" s="13" t="s">
        <v>159</v>
      </c>
      <c r="G1781" s="20" t="str">
        <f>HYPERLINK("https://semena-nn.ru/catalog/46/888000000190","Фото")</f>
        <v>Фото</v>
      </c>
      <c r="H1781" s="18">
        <v>38.200000000000003</v>
      </c>
      <c r="I1781" s="27"/>
      <c r="J1781" s="13">
        <f>H1781*I1781</f>
        <v>0</v>
      </c>
    </row>
    <row r="1782" spans="1:10" ht="12" customHeight="1">
      <c r="A1782" s="13" t="s">
        <v>5431</v>
      </c>
      <c r="B1782" s="13" t="s">
        <v>5432</v>
      </c>
      <c r="C1782" s="13" t="s">
        <v>143</v>
      </c>
      <c r="D1782" s="13" t="s">
        <v>5136</v>
      </c>
      <c r="E1782" s="13" t="s">
        <v>93</v>
      </c>
      <c r="F1782" s="13" t="s">
        <v>5433</v>
      </c>
      <c r="G1782" s="20" t="str">
        <f>HYPERLINK("https://semena-nn.ru/catalog/46/888000001635","Фото")</f>
        <v>Фото</v>
      </c>
      <c r="H1782" s="18">
        <v>59.9</v>
      </c>
      <c r="I1782" s="27"/>
      <c r="J1782" s="13">
        <f>H1782*I1782</f>
        <v>0</v>
      </c>
    </row>
    <row r="1783" spans="1:10" ht="12" customHeight="1">
      <c r="A1783" s="13" t="s">
        <v>7491</v>
      </c>
      <c r="B1783" s="13" t="s">
        <v>7492</v>
      </c>
      <c r="C1783" s="13" t="s">
        <v>143</v>
      </c>
      <c r="D1783" s="13" t="s">
        <v>7148</v>
      </c>
      <c r="E1783" s="13" t="s">
        <v>93</v>
      </c>
      <c r="F1783" s="13" t="s">
        <v>7493</v>
      </c>
      <c r="G1783" s="20" t="str">
        <f>HYPERLINK("https://semena-nn.ru/catalog/46/1314233","Фото")</f>
        <v>Фото</v>
      </c>
      <c r="H1783" s="18">
        <v>70.599999999999994</v>
      </c>
      <c r="I1783" s="27"/>
      <c r="J1783" s="13">
        <f>H1783*I1783</f>
        <v>0</v>
      </c>
    </row>
    <row r="1784" spans="1:10" ht="12" customHeight="1">
      <c r="A1784" s="13" t="s">
        <v>496</v>
      </c>
      <c r="B1784" s="13" t="s">
        <v>497</v>
      </c>
      <c r="C1784" s="13" t="s">
        <v>143</v>
      </c>
      <c r="D1784" s="13" t="s">
        <v>28</v>
      </c>
      <c r="E1784" s="13" t="s">
        <v>93</v>
      </c>
      <c r="F1784" s="13" t="s">
        <v>498</v>
      </c>
      <c r="G1784" s="20" t="str">
        <f>HYPERLINK("https://semena-nn.ru/catalog/46/999000011712","Фото")</f>
        <v>Фото</v>
      </c>
      <c r="H1784" s="19">
        <v>30.98</v>
      </c>
      <c r="I1784" s="27"/>
      <c r="J1784" s="13">
        <f>H1784*I1784</f>
        <v>0</v>
      </c>
    </row>
    <row r="1785" spans="1:10" ht="12" customHeight="1">
      <c r="A1785" s="13" t="s">
        <v>7494</v>
      </c>
      <c r="B1785" s="13" t="s">
        <v>7495</v>
      </c>
      <c r="C1785" s="13" t="s">
        <v>143</v>
      </c>
      <c r="D1785" s="13" t="s">
        <v>7148</v>
      </c>
      <c r="E1785" s="13" t="s">
        <v>93</v>
      </c>
      <c r="F1785" s="13" t="s">
        <v>7496</v>
      </c>
      <c r="G1785" s="20" t="str">
        <f>HYPERLINK("https://semena-nn.ru/catalog/46/999000013105","Фото")</f>
        <v>Фото</v>
      </c>
      <c r="H1785" s="18">
        <v>87.5</v>
      </c>
      <c r="I1785" s="27"/>
      <c r="J1785" s="13">
        <f>H1785*I1785</f>
        <v>0</v>
      </c>
    </row>
    <row r="1786" spans="1:10" ht="12" customHeight="1">
      <c r="A1786" s="13" t="s">
        <v>4224</v>
      </c>
      <c r="B1786" s="13" t="s">
        <v>4225</v>
      </c>
      <c r="C1786" s="13" t="s">
        <v>143</v>
      </c>
      <c r="D1786" s="13" t="s">
        <v>3475</v>
      </c>
      <c r="E1786" s="13" t="s">
        <v>93</v>
      </c>
      <c r="F1786" s="13" t="s">
        <v>4226</v>
      </c>
      <c r="G1786" s="20" t="str">
        <f>HYPERLINK("http://semena-nn.ru/catalog/46/80111","Фото")</f>
        <v>Фото</v>
      </c>
      <c r="H1786" s="19">
        <v>47.04</v>
      </c>
      <c r="I1786" s="27"/>
      <c r="J1786" s="13">
        <f>H1786*I1786</f>
        <v>0</v>
      </c>
    </row>
    <row r="1787" spans="1:10" ht="12" customHeight="1">
      <c r="A1787" s="13" t="s">
        <v>5938</v>
      </c>
      <c r="B1787" s="13" t="s">
        <v>5939</v>
      </c>
      <c r="C1787" s="13" t="s">
        <v>143</v>
      </c>
      <c r="D1787" s="13" t="s">
        <v>5834</v>
      </c>
      <c r="E1787" s="13" t="s">
        <v>93</v>
      </c>
      <c r="F1787" s="13" t="s">
        <v>5940</v>
      </c>
      <c r="G1787" s="20" t="str">
        <f>HYPERLINK("https://semena-nn.ru/catalog/46/888000001565","Фото")</f>
        <v>Фото</v>
      </c>
      <c r="H1787" s="19">
        <v>38.85</v>
      </c>
      <c r="I1787" s="27"/>
      <c r="J1787" s="13">
        <f>H1787*I1787</f>
        <v>0</v>
      </c>
    </row>
    <row r="1788" spans="1:10" ht="12" customHeight="1">
      <c r="A1788" s="13" t="s">
        <v>7497</v>
      </c>
      <c r="B1788" s="13" t="s">
        <v>7498</v>
      </c>
      <c r="C1788" s="13" t="s">
        <v>143</v>
      </c>
      <c r="D1788" s="13" t="s">
        <v>7148</v>
      </c>
      <c r="E1788" s="13" t="s">
        <v>93</v>
      </c>
      <c r="F1788" s="13" t="s">
        <v>7499</v>
      </c>
      <c r="G1788" s="20" t="str">
        <f>HYPERLINK("https://semena-nn.ru/catalog/46/888000007469","Фото")</f>
        <v>Фото</v>
      </c>
      <c r="H1788" s="18">
        <v>95.8</v>
      </c>
      <c r="I1788" s="27"/>
      <c r="J1788" s="13">
        <f>H1788*I1788</f>
        <v>0</v>
      </c>
    </row>
    <row r="1789" spans="1:10" ht="12" customHeight="1">
      <c r="A1789" s="13" t="s">
        <v>8418</v>
      </c>
      <c r="B1789" s="13" t="s">
        <v>8419</v>
      </c>
      <c r="C1789" s="13" t="s">
        <v>143</v>
      </c>
      <c r="D1789" s="13" t="s">
        <v>8317</v>
      </c>
      <c r="E1789" s="13" t="s">
        <v>93</v>
      </c>
      <c r="F1789" s="13" t="s">
        <v>8420</v>
      </c>
      <c r="G1789" s="20" t="str">
        <f>HYPERLINK("https://semena-nn.ru/catalog/46/1299452","Фото")</f>
        <v>Фото</v>
      </c>
      <c r="H1789" s="18">
        <v>143.30000000000001</v>
      </c>
      <c r="I1789" s="27"/>
      <c r="J1789" s="13">
        <f>H1789*I1789</f>
        <v>0</v>
      </c>
    </row>
    <row r="1790" spans="1:10" ht="12" customHeight="1">
      <c r="A1790" s="13" t="s">
        <v>5086</v>
      </c>
      <c r="B1790" s="13" t="s">
        <v>5087</v>
      </c>
      <c r="C1790" s="13" t="s">
        <v>143</v>
      </c>
      <c r="D1790" s="13" t="s">
        <v>5045</v>
      </c>
      <c r="E1790" s="13" t="s">
        <v>93</v>
      </c>
      <c r="F1790" s="13" t="s">
        <v>5088</v>
      </c>
      <c r="G1790" s="20" t="str">
        <f>HYPERLINK("http://semena-nn.ru/catalog/46/1120554","Фото")</f>
        <v>Фото</v>
      </c>
      <c r="H1790" s="18">
        <v>37.799999999999997</v>
      </c>
      <c r="I1790" s="27"/>
      <c r="J1790" s="13">
        <f>H1790*I1790</f>
        <v>0</v>
      </c>
    </row>
    <row r="1791" spans="1:10" ht="12" customHeight="1">
      <c r="A1791" s="13" t="s">
        <v>6315</v>
      </c>
      <c r="B1791" s="13" t="s">
        <v>6316</v>
      </c>
      <c r="C1791" s="13" t="s">
        <v>143</v>
      </c>
      <c r="D1791" s="13" t="s">
        <v>6295</v>
      </c>
      <c r="E1791" s="13" t="s">
        <v>93</v>
      </c>
      <c r="F1791" s="13" t="s">
        <v>6317</v>
      </c>
      <c r="G1791" s="20" t="str">
        <f>HYPERLINK("https://semena-nn.ru/catalog/46/999000009454","Фото")</f>
        <v>Фото</v>
      </c>
      <c r="H1791" s="19">
        <v>141.75</v>
      </c>
      <c r="I1791" s="27"/>
      <c r="J1791" s="13">
        <f>H1791*I1791</f>
        <v>0</v>
      </c>
    </row>
    <row r="1792" spans="1:10" ht="12" customHeight="1">
      <c r="A1792" s="13" t="s">
        <v>4227</v>
      </c>
      <c r="B1792" s="13" t="s">
        <v>4228</v>
      </c>
      <c r="C1792" s="13" t="s">
        <v>143</v>
      </c>
      <c r="D1792" s="13" t="s">
        <v>3475</v>
      </c>
      <c r="E1792" s="13" t="s">
        <v>93</v>
      </c>
      <c r="F1792" s="13" t="s">
        <v>4229</v>
      </c>
      <c r="G1792" s="20" t="str">
        <f>HYPERLINK("https://semena-nn.ru/catalog/46/113458","Фото")</f>
        <v>Фото</v>
      </c>
      <c r="H1792" s="18">
        <v>49.4</v>
      </c>
      <c r="I1792" s="27"/>
      <c r="J1792" s="13">
        <f>H1792*I1792</f>
        <v>0</v>
      </c>
    </row>
    <row r="1793" spans="1:10" ht="12" customHeight="1">
      <c r="A1793" s="13" t="s">
        <v>499</v>
      </c>
      <c r="B1793" s="13" t="s">
        <v>500</v>
      </c>
      <c r="C1793" s="13" t="s">
        <v>143</v>
      </c>
      <c r="D1793" s="13" t="s">
        <v>28</v>
      </c>
      <c r="E1793" s="13" t="s">
        <v>93</v>
      </c>
      <c r="F1793" s="13" t="s">
        <v>501</v>
      </c>
      <c r="G1793" s="20" t="str">
        <f>HYPERLINK("https://semena-nn.ru/catalog/46/999000011983","Фото")</f>
        <v>Фото</v>
      </c>
      <c r="H1793" s="18">
        <v>31.4</v>
      </c>
      <c r="I1793" s="27"/>
      <c r="J1793" s="13">
        <f>H1793*I1793</f>
        <v>0</v>
      </c>
    </row>
    <row r="1794" spans="1:10" ht="12" customHeight="1">
      <c r="A1794" s="13" t="s">
        <v>7500</v>
      </c>
      <c r="B1794" s="13" t="s">
        <v>7501</v>
      </c>
      <c r="C1794" s="13" t="s">
        <v>143</v>
      </c>
      <c r="D1794" s="13" t="s">
        <v>7148</v>
      </c>
      <c r="E1794" s="13" t="s">
        <v>93</v>
      </c>
      <c r="F1794" s="13" t="s">
        <v>7502</v>
      </c>
      <c r="G1794" s="20" t="str">
        <f>HYPERLINK("http://semena-nn.ru/catalog/46/1314234","Фото")</f>
        <v>Фото</v>
      </c>
      <c r="H1794" s="18">
        <v>65.5</v>
      </c>
      <c r="I1794" s="27"/>
      <c r="J1794" s="13">
        <f>H1794*I1794</f>
        <v>0</v>
      </c>
    </row>
    <row r="1795" spans="1:10" ht="12" customHeight="1">
      <c r="A1795" s="13" t="s">
        <v>6566</v>
      </c>
      <c r="B1795" s="13" t="s">
        <v>6567</v>
      </c>
      <c r="C1795" s="13" t="s">
        <v>143</v>
      </c>
      <c r="D1795" s="13" t="s">
        <v>87</v>
      </c>
      <c r="E1795" s="13" t="s">
        <v>93</v>
      </c>
      <c r="F1795" s="13" t="s">
        <v>6568</v>
      </c>
      <c r="G1795" s="20" t="str">
        <f>HYPERLINK("https://semena-nn.ru/catalog/46/999000005830","Фото")</f>
        <v>Фото</v>
      </c>
      <c r="H1795" s="18">
        <v>22.7</v>
      </c>
      <c r="I1795" s="27"/>
      <c r="J1795" s="13">
        <f>H1795*I1795</f>
        <v>0</v>
      </c>
    </row>
    <row r="1796" spans="1:10" ht="12" customHeight="1">
      <c r="A1796" s="13" t="s">
        <v>8186</v>
      </c>
      <c r="B1796" s="13" t="s">
        <v>8187</v>
      </c>
      <c r="C1796" s="13" t="s">
        <v>143</v>
      </c>
      <c r="D1796" s="13" t="s">
        <v>7728</v>
      </c>
      <c r="E1796" s="13" t="s">
        <v>93</v>
      </c>
      <c r="F1796" s="13" t="s">
        <v>8188</v>
      </c>
      <c r="G1796" s="20" t="str">
        <f>HYPERLINK("http://semena-nn.ru/catalog/46/95718","Фото")</f>
        <v>Фото</v>
      </c>
      <c r="H1796" s="18">
        <v>22.2</v>
      </c>
      <c r="I1796" s="27"/>
      <c r="J1796" s="13">
        <f>H1796*I1796</f>
        <v>0</v>
      </c>
    </row>
    <row r="1797" spans="1:10" ht="12" customHeight="1">
      <c r="A1797" s="13" t="s">
        <v>5941</v>
      </c>
      <c r="B1797" s="13" t="s">
        <v>5942</v>
      </c>
      <c r="C1797" s="13" t="s">
        <v>143</v>
      </c>
      <c r="D1797" s="13" t="s">
        <v>5834</v>
      </c>
      <c r="E1797" s="13" t="s">
        <v>93</v>
      </c>
      <c r="F1797" s="13" t="s">
        <v>5943</v>
      </c>
      <c r="G1797" s="20" t="str">
        <f>HYPERLINK("https://semena-nn.ru/catalog/46/888000001566","Фото")</f>
        <v>Фото</v>
      </c>
      <c r="H1797" s="18">
        <v>77.599999999999994</v>
      </c>
      <c r="I1797" s="27"/>
      <c r="J1797" s="13">
        <f>H1797*I1797</f>
        <v>0</v>
      </c>
    </row>
    <row r="1798" spans="1:10" ht="12" customHeight="1">
      <c r="A1798" s="13" t="s">
        <v>1734</v>
      </c>
      <c r="B1798" s="13" t="s">
        <v>1735</v>
      </c>
      <c r="C1798" s="13" t="s">
        <v>143</v>
      </c>
      <c r="D1798" s="13" t="s">
        <v>697</v>
      </c>
      <c r="E1798" s="13" t="s">
        <v>93</v>
      </c>
      <c r="F1798" s="13" t="s">
        <v>1736</v>
      </c>
      <c r="G1798" s="20" t="str">
        <f>HYPERLINK("http://semena-nn.ru/catalog/46/999000004433","Фото")</f>
        <v>Фото</v>
      </c>
      <c r="H1798" s="18">
        <v>35.4</v>
      </c>
      <c r="I1798" s="27"/>
      <c r="J1798" s="13">
        <f>H1798*I1798</f>
        <v>0</v>
      </c>
    </row>
    <row r="1799" spans="1:10" ht="12" customHeight="1">
      <c r="A1799" s="13" t="s">
        <v>1737</v>
      </c>
      <c r="B1799" s="13" t="s">
        <v>1738</v>
      </c>
      <c r="C1799" s="13" t="s">
        <v>143</v>
      </c>
      <c r="D1799" s="13" t="s">
        <v>697</v>
      </c>
      <c r="E1799" s="13" t="s">
        <v>93</v>
      </c>
      <c r="F1799" s="13" t="s">
        <v>1739</v>
      </c>
      <c r="G1799" s="20" t="str">
        <f>HYPERLINK("https://semena-nn.ru/catalog/46/888000000277","Фото")</f>
        <v>Фото</v>
      </c>
      <c r="H1799" s="19">
        <v>28.35</v>
      </c>
      <c r="I1799" s="27"/>
      <c r="J1799" s="13">
        <f>H1799*I1799</f>
        <v>0</v>
      </c>
    </row>
    <row r="1800" spans="1:10" ht="12" customHeight="1">
      <c r="A1800" s="13" t="s">
        <v>1740</v>
      </c>
      <c r="B1800" s="13" t="s">
        <v>1741</v>
      </c>
      <c r="C1800" s="13" t="s">
        <v>143</v>
      </c>
      <c r="D1800" s="13" t="s">
        <v>697</v>
      </c>
      <c r="E1800" s="13" t="s">
        <v>93</v>
      </c>
      <c r="F1800" s="13" t="s">
        <v>1742</v>
      </c>
      <c r="G1800" s="20" t="str">
        <f>HYPERLINK("https://semena-nn.ru/catalog/46/888000000278","Фото")</f>
        <v>Фото</v>
      </c>
      <c r="H1800" s="19">
        <v>28.35</v>
      </c>
      <c r="I1800" s="27"/>
      <c r="J1800" s="13">
        <f>H1800*I1800</f>
        <v>0</v>
      </c>
    </row>
    <row r="1801" spans="1:10" ht="12" customHeight="1">
      <c r="A1801" s="13" t="s">
        <v>8587</v>
      </c>
      <c r="B1801" s="13" t="s">
        <v>8588</v>
      </c>
      <c r="C1801" s="13" t="s">
        <v>143</v>
      </c>
      <c r="D1801" s="13" t="s">
        <v>8498</v>
      </c>
      <c r="E1801" s="13" t="s">
        <v>93</v>
      </c>
      <c r="F1801" s="13" t="s">
        <v>8589</v>
      </c>
      <c r="G1801" s="20" t="str">
        <f>HYPERLINK("https://semena-nn.ru/catalog/46/999000020143","Фото")</f>
        <v>Фото</v>
      </c>
      <c r="H1801" s="19">
        <v>21.95</v>
      </c>
      <c r="I1801" s="27"/>
      <c r="J1801" s="13">
        <f>H1801*I1801</f>
        <v>0</v>
      </c>
    </row>
    <row r="1802" spans="1:10" ht="12" customHeight="1">
      <c r="A1802" s="13" t="s">
        <v>5089</v>
      </c>
      <c r="B1802" s="13" t="s">
        <v>5090</v>
      </c>
      <c r="C1802" s="13" t="s">
        <v>143</v>
      </c>
      <c r="D1802" s="13" t="s">
        <v>5045</v>
      </c>
      <c r="E1802" s="13" t="s">
        <v>93</v>
      </c>
      <c r="F1802" s="13" t="s">
        <v>5091</v>
      </c>
      <c r="G1802" s="20" t="str">
        <f>HYPERLINK("https://semena-nn.ru/catalog/46/999000020799","Фото")</f>
        <v>Фото</v>
      </c>
      <c r="H1802" s="18">
        <v>31.5</v>
      </c>
      <c r="I1802" s="27"/>
      <c r="J1802" s="13">
        <f>H1802*I1802</f>
        <v>0</v>
      </c>
    </row>
    <row r="1803" spans="1:10" ht="12" customHeight="1">
      <c r="A1803" s="13" t="s">
        <v>7101</v>
      </c>
      <c r="B1803" s="13" t="s">
        <v>7102</v>
      </c>
      <c r="C1803" s="13" t="s">
        <v>143</v>
      </c>
      <c r="D1803" s="13" t="s">
        <v>6927</v>
      </c>
      <c r="E1803" s="13" t="s">
        <v>93</v>
      </c>
      <c r="F1803" s="13" t="s">
        <v>7103</v>
      </c>
      <c r="G1803" s="20" t="str">
        <f>HYPERLINK("https://semena-nn.ru/catalog/46/999000010170","Фото")</f>
        <v>Фото</v>
      </c>
      <c r="H1803" s="18">
        <v>40.700000000000003</v>
      </c>
      <c r="I1803" s="27"/>
      <c r="J1803" s="13">
        <f>H1803*I1803</f>
        <v>0</v>
      </c>
    </row>
    <row r="1804" spans="1:10" ht="12" customHeight="1">
      <c r="A1804" s="13" t="s">
        <v>8189</v>
      </c>
      <c r="B1804" s="13" t="s">
        <v>8190</v>
      </c>
      <c r="C1804" s="13" t="s">
        <v>143</v>
      </c>
      <c r="D1804" s="13" t="s">
        <v>7728</v>
      </c>
      <c r="E1804" s="13" t="s">
        <v>93</v>
      </c>
      <c r="F1804" s="13" t="s">
        <v>8191</v>
      </c>
      <c r="G1804" s="20" t="str">
        <f>HYPERLINK("http://semena-nn.ru/catalog/46/101369","Фото")</f>
        <v>Фото</v>
      </c>
      <c r="H1804" s="18">
        <v>42.5</v>
      </c>
      <c r="I1804" s="27"/>
      <c r="J1804" s="13">
        <f>H1804*I1804</f>
        <v>0</v>
      </c>
    </row>
    <row r="1805" spans="1:10" ht="12" customHeight="1">
      <c r="A1805" s="13" t="s">
        <v>8192</v>
      </c>
      <c r="B1805" s="13" t="s">
        <v>8193</v>
      </c>
      <c r="C1805" s="13" t="s">
        <v>143</v>
      </c>
      <c r="D1805" s="13" t="s">
        <v>7728</v>
      </c>
      <c r="E1805" s="13" t="s">
        <v>93</v>
      </c>
      <c r="F1805" s="13" t="s">
        <v>8194</v>
      </c>
      <c r="G1805" s="20" t="str">
        <f>HYPERLINK("http://semena-nn.ru/catalog/46/1289455","Фото")</f>
        <v>Фото</v>
      </c>
      <c r="H1805" s="18">
        <v>43.5</v>
      </c>
      <c r="I1805" s="27"/>
      <c r="J1805" s="13">
        <f>H1805*I1805</f>
        <v>0</v>
      </c>
    </row>
    <row r="1806" spans="1:10" ht="12" customHeight="1">
      <c r="A1806" s="13" t="s">
        <v>502</v>
      </c>
      <c r="B1806" s="13" t="s">
        <v>503</v>
      </c>
      <c r="C1806" s="13" t="s">
        <v>143</v>
      </c>
      <c r="D1806" s="13" t="s">
        <v>28</v>
      </c>
      <c r="E1806" s="13" t="s">
        <v>93</v>
      </c>
      <c r="F1806" s="13" t="s">
        <v>504</v>
      </c>
      <c r="G1806" s="20" t="str">
        <f>HYPERLINK("https://semena-nn.ru/catalog/46/999000011716","Фото")</f>
        <v>Фото</v>
      </c>
      <c r="H1806" s="19">
        <v>53.03</v>
      </c>
      <c r="I1806" s="27"/>
      <c r="J1806" s="13">
        <f>H1806*I1806</f>
        <v>0</v>
      </c>
    </row>
    <row r="1807" spans="1:10" ht="12" customHeight="1">
      <c r="A1807" s="13" t="s">
        <v>5434</v>
      </c>
      <c r="B1807" s="13" t="s">
        <v>5435</v>
      </c>
      <c r="C1807" s="13" t="s">
        <v>143</v>
      </c>
      <c r="D1807" s="13" t="s">
        <v>5136</v>
      </c>
      <c r="E1807" s="13" t="s">
        <v>93</v>
      </c>
      <c r="F1807" s="13" t="s">
        <v>5436</v>
      </c>
      <c r="G1807" s="20" t="str">
        <f>HYPERLINK("https://semena-nn.ru/catalog/46/888000007449","Фото")</f>
        <v>Фото</v>
      </c>
      <c r="H1807" s="15">
        <v>56</v>
      </c>
      <c r="I1807" s="27"/>
      <c r="J1807" s="13">
        <f>H1807*I1807</f>
        <v>0</v>
      </c>
    </row>
    <row r="1808" spans="1:10" ht="12" customHeight="1">
      <c r="A1808" s="13" t="s">
        <v>5437</v>
      </c>
      <c r="B1808" s="13" t="s">
        <v>5438</v>
      </c>
      <c r="C1808" s="13" t="s">
        <v>143</v>
      </c>
      <c r="D1808" s="13" t="s">
        <v>5136</v>
      </c>
      <c r="E1808" s="13" t="s">
        <v>93</v>
      </c>
      <c r="F1808" s="13" t="s">
        <v>5439</v>
      </c>
      <c r="G1808" s="20" t="str">
        <f>HYPERLINK("https://semena-nn.ru/catalog/46/888000007450","Фото")</f>
        <v>Фото</v>
      </c>
      <c r="H1808" s="15">
        <v>56</v>
      </c>
      <c r="I1808" s="27"/>
      <c r="J1808" s="13">
        <f>H1808*I1808</f>
        <v>0</v>
      </c>
    </row>
    <row r="1809" spans="1:10" ht="12" customHeight="1">
      <c r="A1809" s="13" t="s">
        <v>6318</v>
      </c>
      <c r="B1809" s="13" t="s">
        <v>6319</v>
      </c>
      <c r="C1809" s="13" t="s">
        <v>143</v>
      </c>
      <c r="D1809" s="13" t="s">
        <v>6295</v>
      </c>
      <c r="E1809" s="13" t="s">
        <v>93</v>
      </c>
      <c r="F1809" s="13" t="s">
        <v>6320</v>
      </c>
      <c r="G1809" s="20" t="str">
        <f>HYPERLINK("https://semena-nn.ru/catalog/46/999000011434","Фото")</f>
        <v>Фото</v>
      </c>
      <c r="H1809" s="19">
        <v>141.75</v>
      </c>
      <c r="I1809" s="27"/>
      <c r="J1809" s="13">
        <f>H1809*I1809</f>
        <v>0</v>
      </c>
    </row>
    <row r="1810" spans="1:10" ht="12" customHeight="1">
      <c r="A1810" s="13" t="s">
        <v>5092</v>
      </c>
      <c r="B1810" s="13" t="s">
        <v>5093</v>
      </c>
      <c r="C1810" s="13" t="s">
        <v>143</v>
      </c>
      <c r="D1810" s="13" t="s">
        <v>5045</v>
      </c>
      <c r="E1810" s="13" t="s">
        <v>93</v>
      </c>
      <c r="F1810" s="13" t="s">
        <v>5094</v>
      </c>
      <c r="G1810" s="20" t="str">
        <f>HYPERLINK("http://semena-nn.ru/catalog/46/92552","Фото")</f>
        <v>Фото</v>
      </c>
      <c r="H1810" s="18">
        <v>25.2</v>
      </c>
      <c r="I1810" s="27"/>
      <c r="J1810" s="13">
        <f>H1810*I1810</f>
        <v>0</v>
      </c>
    </row>
    <row r="1811" spans="1:10" ht="12" customHeight="1">
      <c r="A1811" s="13" t="s">
        <v>505</v>
      </c>
      <c r="B1811" s="13" t="s">
        <v>506</v>
      </c>
      <c r="C1811" s="13" t="s">
        <v>143</v>
      </c>
      <c r="D1811" s="13" t="s">
        <v>28</v>
      </c>
      <c r="E1811" s="13" t="s">
        <v>93</v>
      </c>
      <c r="F1811" s="13" t="s">
        <v>507</v>
      </c>
      <c r="G1811" s="20" t="str">
        <f>HYPERLINK("https://semena-nn.ru/catalog/46/999000009989","Фото")</f>
        <v>Фото</v>
      </c>
      <c r="H1811" s="19">
        <v>31.29</v>
      </c>
      <c r="I1811" s="27"/>
      <c r="J1811" s="13">
        <f>H1811*I1811</f>
        <v>0</v>
      </c>
    </row>
    <row r="1812" spans="1:10" ht="12" customHeight="1">
      <c r="A1812" s="13" t="s">
        <v>4230</v>
      </c>
      <c r="B1812" s="13" t="s">
        <v>4231</v>
      </c>
      <c r="C1812" s="13" t="s">
        <v>143</v>
      </c>
      <c r="D1812" s="13" t="s">
        <v>3475</v>
      </c>
      <c r="E1812" s="13" t="s">
        <v>93</v>
      </c>
      <c r="F1812" s="13" t="s">
        <v>4232</v>
      </c>
      <c r="G1812" s="20" t="str">
        <f>HYPERLINK("https://semena-nn.ru/catalog/46/1310021","Фото")</f>
        <v>Фото</v>
      </c>
      <c r="H1812" s="19">
        <v>31.75</v>
      </c>
      <c r="I1812" s="27"/>
      <c r="J1812" s="13">
        <f>H1812*I1812</f>
        <v>0</v>
      </c>
    </row>
    <row r="1813" spans="1:10" ht="12" customHeight="1">
      <c r="A1813" s="13" t="s">
        <v>1743</v>
      </c>
      <c r="B1813" s="13" t="s">
        <v>1744</v>
      </c>
      <c r="C1813" s="13" t="s">
        <v>143</v>
      </c>
      <c r="D1813" s="13" t="s">
        <v>697</v>
      </c>
      <c r="E1813" s="13" t="s">
        <v>93</v>
      </c>
      <c r="F1813" s="13" t="s">
        <v>1745</v>
      </c>
      <c r="G1813" s="20" t="str">
        <f>HYPERLINK("https://semena-nn.ru/catalog/46/110319","Фото")</f>
        <v>Фото</v>
      </c>
      <c r="H1813" s="19">
        <v>25.15</v>
      </c>
      <c r="I1813" s="27"/>
      <c r="J1813" s="13">
        <f>H1813*I1813</f>
        <v>0</v>
      </c>
    </row>
    <row r="1814" spans="1:10" ht="12" customHeight="1">
      <c r="A1814" s="13" t="s">
        <v>4233</v>
      </c>
      <c r="B1814" s="13" t="s">
        <v>4234</v>
      </c>
      <c r="C1814" s="13" t="s">
        <v>143</v>
      </c>
      <c r="D1814" s="13" t="s">
        <v>3475</v>
      </c>
      <c r="E1814" s="13" t="s">
        <v>93</v>
      </c>
      <c r="F1814" s="13" t="s">
        <v>4235</v>
      </c>
      <c r="G1814" s="20" t="str">
        <f>HYPERLINK("https://semena-nn.ru/catalog/46/999000009838","Фото")</f>
        <v>Фото</v>
      </c>
      <c r="H1814" s="19">
        <v>52.95</v>
      </c>
      <c r="I1814" s="27"/>
      <c r="J1814" s="13">
        <f>H1814*I1814</f>
        <v>0</v>
      </c>
    </row>
    <row r="1815" spans="1:10" ht="12" customHeight="1">
      <c r="A1815" s="13" t="s">
        <v>8590</v>
      </c>
      <c r="B1815" s="13" t="s">
        <v>8591</v>
      </c>
      <c r="C1815" s="13" t="s">
        <v>143</v>
      </c>
      <c r="D1815" s="13" t="s">
        <v>8498</v>
      </c>
      <c r="E1815" s="13" t="s">
        <v>93</v>
      </c>
      <c r="F1815" s="13" t="s">
        <v>8592</v>
      </c>
      <c r="G1815" s="20" t="str">
        <f>HYPERLINK("https://semena-nn.ru/catalog/46/999000008450","Фото")</f>
        <v>Фото</v>
      </c>
      <c r="H1815" s="18">
        <v>15.7</v>
      </c>
      <c r="I1815" s="27"/>
      <c r="J1815" s="13">
        <f>H1815*I1815</f>
        <v>0</v>
      </c>
    </row>
    <row r="1816" spans="1:10" ht="12" customHeight="1">
      <c r="A1816" s="13" t="s">
        <v>4236</v>
      </c>
      <c r="B1816" s="13" t="s">
        <v>4237</v>
      </c>
      <c r="C1816" s="13" t="s">
        <v>143</v>
      </c>
      <c r="D1816" s="13" t="s">
        <v>3475</v>
      </c>
      <c r="E1816" s="13" t="s">
        <v>93</v>
      </c>
      <c r="F1816" s="13" t="s">
        <v>4238</v>
      </c>
      <c r="G1816" s="20" t="str">
        <f>HYPERLINK("http://semena-nn.ru/catalog/46/94078","Фото")</f>
        <v>Фото</v>
      </c>
      <c r="H1816" s="18">
        <v>30.6</v>
      </c>
      <c r="I1816" s="27"/>
      <c r="J1816" s="13">
        <f>H1816*I1816</f>
        <v>0</v>
      </c>
    </row>
    <row r="1817" spans="1:10" ht="12" customHeight="1">
      <c r="A1817" s="13" t="s">
        <v>6569</v>
      </c>
      <c r="B1817" s="13" t="s">
        <v>6570</v>
      </c>
      <c r="C1817" s="13" t="s">
        <v>143</v>
      </c>
      <c r="D1817" s="13" t="s">
        <v>87</v>
      </c>
      <c r="E1817" s="13" t="s">
        <v>93</v>
      </c>
      <c r="F1817" s="13" t="s">
        <v>6571</v>
      </c>
      <c r="G1817" s="20" t="str">
        <f>HYPERLINK("https://semena-nn.ru/catalog/46/999000013201","Фото")</f>
        <v>Фото</v>
      </c>
      <c r="H1817" s="18">
        <v>19.600000000000001</v>
      </c>
      <c r="I1817" s="27"/>
      <c r="J1817" s="13">
        <f>H1817*I1817</f>
        <v>0</v>
      </c>
    </row>
    <row r="1818" spans="1:10" ht="12" customHeight="1">
      <c r="A1818" s="13" t="s">
        <v>8923</v>
      </c>
      <c r="B1818" s="13" t="s">
        <v>8924</v>
      </c>
      <c r="C1818" s="13" t="s">
        <v>143</v>
      </c>
      <c r="D1818" s="13" t="s">
        <v>8717</v>
      </c>
      <c r="E1818" s="13" t="s">
        <v>93</v>
      </c>
      <c r="F1818" s="13" t="s">
        <v>8925</v>
      </c>
      <c r="G1818" s="20" t="str">
        <f>HYPERLINK("https://semena-nn.ru/catalog/46/999000009119","Фото")</f>
        <v>Фото</v>
      </c>
      <c r="H1818" s="18">
        <v>21.5</v>
      </c>
      <c r="I1818" s="27"/>
      <c r="J1818" s="13">
        <f>H1818*I1818</f>
        <v>0</v>
      </c>
    </row>
    <row r="1819" spans="1:10" ht="12" customHeight="1">
      <c r="A1819" s="13" t="s">
        <v>5095</v>
      </c>
      <c r="B1819" s="13" t="s">
        <v>5096</v>
      </c>
      <c r="C1819" s="13" t="s">
        <v>143</v>
      </c>
      <c r="D1819" s="13" t="s">
        <v>5045</v>
      </c>
      <c r="E1819" s="13" t="s">
        <v>93</v>
      </c>
      <c r="F1819" s="13" t="s">
        <v>5097</v>
      </c>
      <c r="G1819" s="20" t="str">
        <f>HYPERLINK("http://semena-nn.ru/catalog/46/95015","Фото")</f>
        <v>Фото</v>
      </c>
      <c r="H1819" s="18">
        <v>26.5</v>
      </c>
      <c r="I1819" s="27"/>
      <c r="J1819" s="13">
        <f>H1819*I1819</f>
        <v>0</v>
      </c>
    </row>
    <row r="1820" spans="1:10" ht="12" customHeight="1">
      <c r="A1820" s="13" t="s">
        <v>7503</v>
      </c>
      <c r="B1820" s="13" t="s">
        <v>7504</v>
      </c>
      <c r="C1820" s="13" t="s">
        <v>143</v>
      </c>
      <c r="D1820" s="13" t="s">
        <v>7148</v>
      </c>
      <c r="E1820" s="13" t="s">
        <v>93</v>
      </c>
      <c r="F1820" s="13" t="s">
        <v>7505</v>
      </c>
      <c r="G1820" s="20" t="str">
        <f>HYPERLINK("https://semena-nn.ru/catalog/46/999000013107","Фото")</f>
        <v>Фото</v>
      </c>
      <c r="H1820" s="18">
        <v>105.9</v>
      </c>
      <c r="I1820" s="27"/>
      <c r="J1820" s="13">
        <f>H1820*I1820</f>
        <v>0</v>
      </c>
    </row>
    <row r="1821" spans="1:10" ht="12" customHeight="1">
      <c r="A1821" s="13" t="s">
        <v>6572</v>
      </c>
      <c r="B1821" s="13" t="s">
        <v>6573</v>
      </c>
      <c r="C1821" s="13" t="s">
        <v>143</v>
      </c>
      <c r="D1821" s="13" t="s">
        <v>87</v>
      </c>
      <c r="E1821" s="13" t="s">
        <v>93</v>
      </c>
      <c r="F1821" s="13" t="s">
        <v>6574</v>
      </c>
      <c r="G1821" s="20" t="str">
        <f>HYPERLINK("https://semena-nn.ru/catalog/46/999000013036","Фото")</f>
        <v>Фото</v>
      </c>
      <c r="H1821" s="19">
        <v>26.15</v>
      </c>
      <c r="I1821" s="27"/>
      <c r="J1821" s="13">
        <f>H1821*I1821</f>
        <v>0</v>
      </c>
    </row>
    <row r="1822" spans="1:10" ht="12" customHeight="1">
      <c r="A1822" s="13" t="s">
        <v>8421</v>
      </c>
      <c r="B1822" s="13" t="s">
        <v>8422</v>
      </c>
      <c r="C1822" s="13" t="s">
        <v>143</v>
      </c>
      <c r="D1822" s="13" t="s">
        <v>8317</v>
      </c>
      <c r="E1822" s="13" t="s">
        <v>93</v>
      </c>
      <c r="F1822" s="13" t="s">
        <v>8423</v>
      </c>
      <c r="G1822" s="20" t="str">
        <f>HYPERLINK("https://semena-nn.ru/catalog/46/888000000714","Фото")</f>
        <v>Фото</v>
      </c>
      <c r="H1822" s="19">
        <v>110.25</v>
      </c>
      <c r="I1822" s="27"/>
      <c r="J1822" s="13">
        <f>H1822*I1822</f>
        <v>0</v>
      </c>
    </row>
    <row r="1823" spans="1:10" ht="12" customHeight="1">
      <c r="A1823" s="13" t="s">
        <v>7506</v>
      </c>
      <c r="B1823" s="13" t="s">
        <v>7507</v>
      </c>
      <c r="C1823" s="13" t="s">
        <v>143</v>
      </c>
      <c r="D1823" s="13" t="s">
        <v>7148</v>
      </c>
      <c r="E1823" s="13" t="s">
        <v>93</v>
      </c>
      <c r="F1823" s="13" t="s">
        <v>7508</v>
      </c>
      <c r="G1823" s="20" t="str">
        <f>HYPERLINK("https://semena-nn.ru/catalog/46/999000020007","Фото")</f>
        <v>Фото</v>
      </c>
      <c r="H1823" s="18">
        <v>75.599999999999994</v>
      </c>
      <c r="I1823" s="27"/>
      <c r="J1823" s="13">
        <f>H1823*I1823</f>
        <v>0</v>
      </c>
    </row>
    <row r="1824" spans="1:10" ht="12" customHeight="1">
      <c r="A1824" s="13" t="s">
        <v>7509</v>
      </c>
      <c r="B1824" s="13" t="s">
        <v>7510</v>
      </c>
      <c r="C1824" s="13" t="s">
        <v>143</v>
      </c>
      <c r="D1824" s="13" t="s">
        <v>7148</v>
      </c>
      <c r="E1824" s="13" t="s">
        <v>93</v>
      </c>
      <c r="F1824" s="13" t="s">
        <v>7511</v>
      </c>
      <c r="G1824" s="20" t="str">
        <f>HYPERLINK("https://semena-nn.ru/catalog/46/888000001632","Фото")</f>
        <v>Фото</v>
      </c>
      <c r="H1824" s="18">
        <v>73.099999999999994</v>
      </c>
      <c r="I1824" s="27"/>
      <c r="J1824" s="13">
        <f>H1824*I1824</f>
        <v>0</v>
      </c>
    </row>
    <row r="1825" spans="1:10" ht="12" customHeight="1">
      <c r="A1825" s="13" t="s">
        <v>4239</v>
      </c>
      <c r="B1825" s="13" t="s">
        <v>4240</v>
      </c>
      <c r="C1825" s="13" t="s">
        <v>143</v>
      </c>
      <c r="D1825" s="13" t="s">
        <v>3475</v>
      </c>
      <c r="E1825" s="13" t="s">
        <v>93</v>
      </c>
      <c r="F1825" s="13" t="s">
        <v>4241</v>
      </c>
      <c r="G1825" s="20" t="str">
        <f>HYPERLINK("http://semena-nn.ru/catalog/46/999000006211","Фото")</f>
        <v>Фото</v>
      </c>
      <c r="H1825" s="18">
        <v>54.1</v>
      </c>
      <c r="I1825" s="27"/>
      <c r="J1825" s="13">
        <f>H1825*I1825</f>
        <v>0</v>
      </c>
    </row>
    <row r="1826" spans="1:10" ht="12" customHeight="1">
      <c r="A1826" s="13" t="s">
        <v>8593</v>
      </c>
      <c r="B1826" s="13" t="s">
        <v>8594</v>
      </c>
      <c r="C1826" s="13" t="s">
        <v>143</v>
      </c>
      <c r="D1826" s="13" t="s">
        <v>8498</v>
      </c>
      <c r="E1826" s="13" t="s">
        <v>93</v>
      </c>
      <c r="F1826" s="13" t="s">
        <v>8595</v>
      </c>
      <c r="G1826" s="20" t="str">
        <f>HYPERLINK("https://semena-nn.ru/catalog/46/999000008451","Фото")</f>
        <v>Фото</v>
      </c>
      <c r="H1826" s="19">
        <v>19.149999999999999</v>
      </c>
      <c r="I1826" s="27"/>
      <c r="J1826" s="13">
        <f>H1826*I1826</f>
        <v>0</v>
      </c>
    </row>
    <row r="1827" spans="1:10" ht="12" customHeight="1">
      <c r="A1827" s="13" t="s">
        <v>4242</v>
      </c>
      <c r="B1827" s="13" t="s">
        <v>4243</v>
      </c>
      <c r="C1827" s="13" t="s">
        <v>143</v>
      </c>
      <c r="D1827" s="13" t="s">
        <v>3475</v>
      </c>
      <c r="E1827" s="13" t="s">
        <v>93</v>
      </c>
      <c r="F1827" s="13" t="s">
        <v>4244</v>
      </c>
      <c r="G1827" s="20" t="str">
        <f>HYPERLINK("http://semena-nn.ru/catalog/46/92390","Фото")</f>
        <v>Фото</v>
      </c>
      <c r="H1827" s="18">
        <v>54.1</v>
      </c>
      <c r="I1827" s="27"/>
      <c r="J1827" s="13">
        <f>H1827*I1827</f>
        <v>0</v>
      </c>
    </row>
    <row r="1828" spans="1:10" ht="12" customHeight="1">
      <c r="A1828" s="13" t="s">
        <v>4245</v>
      </c>
      <c r="B1828" s="13" t="s">
        <v>4246</v>
      </c>
      <c r="C1828" s="13" t="s">
        <v>143</v>
      </c>
      <c r="D1828" s="13" t="s">
        <v>3475</v>
      </c>
      <c r="E1828" s="13" t="s">
        <v>93</v>
      </c>
      <c r="F1828" s="13" t="s">
        <v>4244</v>
      </c>
      <c r="G1828" s="20" t="str">
        <f>HYPERLINK("http://semena-nn.ru/catalog/46/109959","Фото")</f>
        <v>Фото</v>
      </c>
      <c r="H1828" s="19">
        <v>74.75</v>
      </c>
      <c r="I1828" s="27"/>
      <c r="J1828" s="13">
        <f>H1828*I1828</f>
        <v>0</v>
      </c>
    </row>
    <row r="1829" spans="1:10" ht="12" customHeight="1">
      <c r="A1829" s="13" t="s">
        <v>1746</v>
      </c>
      <c r="B1829" s="13" t="s">
        <v>1747</v>
      </c>
      <c r="C1829" s="13" t="s">
        <v>143</v>
      </c>
      <c r="D1829" s="13" t="s">
        <v>697</v>
      </c>
      <c r="E1829" s="13" t="s">
        <v>93</v>
      </c>
      <c r="F1829" s="13" t="s">
        <v>1748</v>
      </c>
      <c r="G1829" s="20" t="str">
        <f>HYPERLINK("https://semena-nn.ru/catalog/46/888000000279","Фото")</f>
        <v>Фото</v>
      </c>
      <c r="H1829" s="19">
        <v>23.05</v>
      </c>
      <c r="I1829" s="27"/>
      <c r="J1829" s="13">
        <f>H1829*I1829</f>
        <v>0</v>
      </c>
    </row>
    <row r="1830" spans="1:10" ht="12" customHeight="1">
      <c r="A1830" s="13" t="s">
        <v>1749</v>
      </c>
      <c r="B1830" s="13" t="s">
        <v>1750</v>
      </c>
      <c r="C1830" s="13" t="s">
        <v>143</v>
      </c>
      <c r="D1830" s="13" t="s">
        <v>697</v>
      </c>
      <c r="E1830" s="13" t="s">
        <v>93</v>
      </c>
      <c r="F1830" s="13" t="s">
        <v>1751</v>
      </c>
      <c r="G1830" s="20" t="str">
        <f>HYPERLINK("https://semena-nn.ru/catalog/46/888000001489","Фото")</f>
        <v>Фото</v>
      </c>
      <c r="H1830" s="18">
        <v>31.8</v>
      </c>
      <c r="I1830" s="27"/>
      <c r="J1830" s="13">
        <f>H1830*I1830</f>
        <v>0</v>
      </c>
    </row>
    <row r="1831" spans="1:10" ht="12" customHeight="1">
      <c r="A1831" s="13" t="s">
        <v>6321</v>
      </c>
      <c r="B1831" s="13" t="s">
        <v>6322</v>
      </c>
      <c r="C1831" s="13" t="s">
        <v>143</v>
      </c>
      <c r="D1831" s="13" t="s">
        <v>6295</v>
      </c>
      <c r="E1831" s="13" t="s">
        <v>93</v>
      </c>
      <c r="F1831" s="13" t="s">
        <v>6323</v>
      </c>
      <c r="G1831" s="20" t="str">
        <f>HYPERLINK("https://semena-nn.ru/catalog/46/999000007810","Фото")</f>
        <v>Фото</v>
      </c>
      <c r="H1831" s="19">
        <v>131.25</v>
      </c>
      <c r="I1831" s="27"/>
      <c r="J1831" s="13">
        <f>H1831*I1831</f>
        <v>0</v>
      </c>
    </row>
    <row r="1832" spans="1:10" ht="12" customHeight="1">
      <c r="A1832" s="13" t="s">
        <v>8195</v>
      </c>
      <c r="B1832" s="13" t="s">
        <v>8196</v>
      </c>
      <c r="C1832" s="13" t="s">
        <v>143</v>
      </c>
      <c r="D1832" s="13" t="s">
        <v>7728</v>
      </c>
      <c r="E1832" s="13" t="s">
        <v>93</v>
      </c>
      <c r="F1832" s="13" t="s">
        <v>8197</v>
      </c>
      <c r="G1832" s="20" t="str">
        <f>HYPERLINK("http://semena-nn.ru/catalog/46/104417","Фото")</f>
        <v>Фото</v>
      </c>
      <c r="H1832" s="18">
        <v>46.5</v>
      </c>
      <c r="I1832" s="27"/>
      <c r="J1832" s="13">
        <f>H1832*I1832</f>
        <v>0</v>
      </c>
    </row>
    <row r="1833" spans="1:10" ht="12" customHeight="1">
      <c r="A1833" s="13" t="s">
        <v>8596</v>
      </c>
      <c r="B1833" s="13" t="s">
        <v>8597</v>
      </c>
      <c r="C1833" s="13" t="s">
        <v>143</v>
      </c>
      <c r="D1833" s="13" t="s">
        <v>8498</v>
      </c>
      <c r="E1833" s="13" t="s">
        <v>93</v>
      </c>
      <c r="F1833" s="13" t="s">
        <v>8598</v>
      </c>
      <c r="G1833" s="20" t="str">
        <f>HYPERLINK("http://semena-nn.ru/catalog/46/108779","Фото")</f>
        <v>Фото</v>
      </c>
      <c r="H1833" s="15">
        <v>23</v>
      </c>
      <c r="I1833" s="27"/>
      <c r="J1833" s="13">
        <f>H1833*I1833</f>
        <v>0</v>
      </c>
    </row>
    <row r="1834" spans="1:10" ht="12" customHeight="1">
      <c r="A1834" s="13" t="s">
        <v>8424</v>
      </c>
      <c r="B1834" s="13" t="s">
        <v>8425</v>
      </c>
      <c r="C1834" s="13" t="s">
        <v>143</v>
      </c>
      <c r="D1834" s="13" t="s">
        <v>8317</v>
      </c>
      <c r="E1834" s="13" t="s">
        <v>93</v>
      </c>
      <c r="F1834" s="13" t="s">
        <v>8426</v>
      </c>
      <c r="G1834" s="20" t="str">
        <f>HYPERLINK("http://semena-nn.ru/catalog/46/1307509","Фото")</f>
        <v>Фото</v>
      </c>
      <c r="H1834" s="18">
        <v>143.30000000000001</v>
      </c>
      <c r="I1834" s="27"/>
      <c r="J1834" s="13">
        <f>H1834*I1834</f>
        <v>0</v>
      </c>
    </row>
    <row r="1835" spans="1:10" ht="12" customHeight="1">
      <c r="A1835" s="13" t="s">
        <v>8427</v>
      </c>
      <c r="B1835" s="13" t="s">
        <v>8428</v>
      </c>
      <c r="C1835" s="13" t="s">
        <v>143</v>
      </c>
      <c r="D1835" s="13" t="s">
        <v>8317</v>
      </c>
      <c r="E1835" s="13" t="s">
        <v>93</v>
      </c>
      <c r="F1835" s="13" t="s">
        <v>8429</v>
      </c>
      <c r="G1835" s="20" t="str">
        <f>HYPERLINK("https://semena-nn.ru/catalog/46/999000021422","Фото")</f>
        <v>Фото</v>
      </c>
      <c r="H1835" s="18">
        <v>143.30000000000001</v>
      </c>
      <c r="I1835" s="27"/>
      <c r="J1835" s="13">
        <f>H1835*I1835</f>
        <v>0</v>
      </c>
    </row>
    <row r="1836" spans="1:10" ht="12" customHeight="1">
      <c r="A1836" s="13" t="s">
        <v>5944</v>
      </c>
      <c r="B1836" s="13" t="s">
        <v>5945</v>
      </c>
      <c r="C1836" s="13" t="s">
        <v>143</v>
      </c>
      <c r="D1836" s="13" t="s">
        <v>5834</v>
      </c>
      <c r="E1836" s="13" t="s">
        <v>93</v>
      </c>
      <c r="F1836" s="13" t="s">
        <v>5946</v>
      </c>
      <c r="G1836" s="20" t="str">
        <f>HYPERLINK("https://semena-nn.ru/catalog/46/888000001567","Фото")</f>
        <v>Фото</v>
      </c>
      <c r="H1836" s="19">
        <v>16.489999999999998</v>
      </c>
      <c r="I1836" s="27"/>
      <c r="J1836" s="13">
        <f>H1836*I1836</f>
        <v>0</v>
      </c>
    </row>
    <row r="1837" spans="1:10" ht="12" customHeight="1">
      <c r="A1837" s="13" t="s">
        <v>7512</v>
      </c>
      <c r="B1837" s="13" t="s">
        <v>7513</v>
      </c>
      <c r="C1837" s="13" t="s">
        <v>143</v>
      </c>
      <c r="D1837" s="13" t="s">
        <v>7148</v>
      </c>
      <c r="E1837" s="13" t="s">
        <v>93</v>
      </c>
      <c r="F1837" s="17" t="s">
        <v>7514</v>
      </c>
      <c r="G1837" s="20" t="str">
        <f>HYPERLINK("http://semena-nn.ru/catalog/46/1313062","Фото")</f>
        <v>Фото</v>
      </c>
      <c r="H1837" s="18">
        <v>458.6</v>
      </c>
      <c r="I1837" s="27"/>
      <c r="J1837" s="13">
        <f>H1837*I1837</f>
        <v>0</v>
      </c>
    </row>
    <row r="1838" spans="1:10" ht="12" customHeight="1">
      <c r="A1838" s="13" t="s">
        <v>7515</v>
      </c>
      <c r="B1838" s="13" t="s">
        <v>7516</v>
      </c>
      <c r="C1838" s="13" t="s">
        <v>143</v>
      </c>
      <c r="D1838" s="13" t="s">
        <v>7148</v>
      </c>
      <c r="E1838" s="13" t="s">
        <v>93</v>
      </c>
      <c r="F1838" s="17" t="s">
        <v>7517</v>
      </c>
      <c r="G1838" s="20" t="str">
        <f>HYPERLINK("http://semena-nn.ru/catalog/46/1313063","Фото")</f>
        <v>Фото</v>
      </c>
      <c r="H1838" s="18">
        <v>458.6</v>
      </c>
      <c r="I1838" s="27"/>
      <c r="J1838" s="13">
        <f>H1838*I1838</f>
        <v>0</v>
      </c>
    </row>
    <row r="1839" spans="1:10" ht="12" customHeight="1">
      <c r="A1839" s="13" t="s">
        <v>7518</v>
      </c>
      <c r="B1839" s="13" t="s">
        <v>7519</v>
      </c>
      <c r="C1839" s="13" t="s">
        <v>143</v>
      </c>
      <c r="D1839" s="13" t="s">
        <v>7148</v>
      </c>
      <c r="E1839" s="13" t="s">
        <v>93</v>
      </c>
      <c r="F1839" s="17" t="s">
        <v>7520</v>
      </c>
      <c r="G1839" s="20" t="str">
        <f>HYPERLINK("https://semena-nn.ru/catalog/46/999000013116","Фото")</f>
        <v>Фото</v>
      </c>
      <c r="H1839" s="18">
        <v>458.6</v>
      </c>
      <c r="I1839" s="27"/>
      <c r="J1839" s="13">
        <f>H1839*I1839</f>
        <v>0</v>
      </c>
    </row>
    <row r="1840" spans="1:10" ht="12" customHeight="1">
      <c r="A1840" s="13" t="s">
        <v>8599</v>
      </c>
      <c r="B1840" s="13" t="s">
        <v>8600</v>
      </c>
      <c r="C1840" s="13" t="s">
        <v>143</v>
      </c>
      <c r="D1840" s="13" t="s">
        <v>8498</v>
      </c>
      <c r="E1840" s="13" t="s">
        <v>93</v>
      </c>
      <c r="F1840" s="13" t="s">
        <v>8601</v>
      </c>
      <c r="G1840" s="20" t="str">
        <f>HYPERLINK("https://semena-nn.ru/catalog/46/999000013169","Фото")</f>
        <v>Фото</v>
      </c>
      <c r="H1840" s="15">
        <v>23</v>
      </c>
      <c r="I1840" s="27"/>
      <c r="J1840" s="13">
        <f>H1840*I1840</f>
        <v>0</v>
      </c>
    </row>
    <row r="1841" spans="1:10" ht="12" customHeight="1">
      <c r="A1841" s="13" t="s">
        <v>7104</v>
      </c>
      <c r="B1841" s="13" t="s">
        <v>7105</v>
      </c>
      <c r="C1841" s="13" t="s">
        <v>143</v>
      </c>
      <c r="D1841" s="13" t="s">
        <v>6927</v>
      </c>
      <c r="E1841" s="13" t="s">
        <v>93</v>
      </c>
      <c r="F1841" s="13" t="s">
        <v>7106</v>
      </c>
      <c r="G1841" s="20" t="str">
        <f>HYPERLINK("https://semena-nn.ru/catalog/46/999000010172","Фото")</f>
        <v>Фото</v>
      </c>
      <c r="H1841" s="18">
        <v>39.5</v>
      </c>
      <c r="I1841" s="27"/>
      <c r="J1841" s="13">
        <f>H1841*I1841</f>
        <v>0</v>
      </c>
    </row>
    <row r="1842" spans="1:10" ht="12" customHeight="1">
      <c r="A1842" s="13" t="s">
        <v>7107</v>
      </c>
      <c r="B1842" s="13" t="s">
        <v>7108</v>
      </c>
      <c r="C1842" s="13" t="s">
        <v>143</v>
      </c>
      <c r="D1842" s="13" t="s">
        <v>6927</v>
      </c>
      <c r="E1842" s="13" t="s">
        <v>93</v>
      </c>
      <c r="F1842" s="13" t="s">
        <v>7109</v>
      </c>
      <c r="G1842" s="20" t="str">
        <f>HYPERLINK("http://semena-nn.ru/catalog/46/1310385","Фото")</f>
        <v>Фото</v>
      </c>
      <c r="H1842" s="19">
        <v>37.450000000000003</v>
      </c>
      <c r="I1842" s="27"/>
      <c r="J1842" s="13">
        <f>H1842*I1842</f>
        <v>0</v>
      </c>
    </row>
    <row r="1843" spans="1:10" ht="12" customHeight="1">
      <c r="A1843" s="13" t="s">
        <v>7521</v>
      </c>
      <c r="B1843" s="13" t="s">
        <v>7522</v>
      </c>
      <c r="C1843" s="13" t="s">
        <v>143</v>
      </c>
      <c r="D1843" s="13" t="s">
        <v>7148</v>
      </c>
      <c r="E1843" s="13" t="s">
        <v>93</v>
      </c>
      <c r="F1843" s="13" t="s">
        <v>7523</v>
      </c>
      <c r="G1843" s="20" t="str">
        <f>HYPERLINK("https://semena-nn.ru/catalog/46/888000001646","Фото")</f>
        <v>Фото</v>
      </c>
      <c r="H1843" s="18">
        <v>85.7</v>
      </c>
      <c r="I1843" s="27"/>
      <c r="J1843" s="13">
        <f>H1843*I1843</f>
        <v>0</v>
      </c>
    </row>
    <row r="1844" spans="1:10" ht="12" customHeight="1">
      <c r="A1844" s="13" t="s">
        <v>5947</v>
      </c>
      <c r="B1844" s="13" t="s">
        <v>5948</v>
      </c>
      <c r="C1844" s="13" t="s">
        <v>143</v>
      </c>
      <c r="D1844" s="13" t="s">
        <v>5834</v>
      </c>
      <c r="E1844" s="13" t="s">
        <v>93</v>
      </c>
      <c r="F1844" s="13" t="s">
        <v>5949</v>
      </c>
      <c r="G1844" s="20" t="str">
        <f>HYPERLINK("https://semena-nn.ru/catalog/46/888000001568","Фото")</f>
        <v>Фото</v>
      </c>
      <c r="H1844" s="18">
        <v>52.4</v>
      </c>
      <c r="I1844" s="27"/>
      <c r="J1844" s="13">
        <f>H1844*I1844</f>
        <v>0</v>
      </c>
    </row>
    <row r="1845" spans="1:10" ht="12" customHeight="1">
      <c r="A1845" s="13" t="s">
        <v>6575</v>
      </c>
      <c r="B1845" s="13" t="s">
        <v>6576</v>
      </c>
      <c r="C1845" s="13" t="s">
        <v>143</v>
      </c>
      <c r="D1845" s="13" t="s">
        <v>87</v>
      </c>
      <c r="E1845" s="13" t="s">
        <v>93</v>
      </c>
      <c r="F1845" s="13" t="s">
        <v>6577</v>
      </c>
      <c r="G1845" s="20" t="str">
        <f>HYPERLINK("https://semena-nn.ru/catalog/46/1115810","Фото")</f>
        <v>Фото</v>
      </c>
      <c r="H1845" s="19">
        <v>26.15</v>
      </c>
      <c r="I1845" s="27"/>
      <c r="J1845" s="13">
        <f>H1845*I1845</f>
        <v>0</v>
      </c>
    </row>
    <row r="1846" spans="1:10" ht="12" customHeight="1">
      <c r="A1846" s="13" t="s">
        <v>5950</v>
      </c>
      <c r="B1846" s="13" t="s">
        <v>5951</v>
      </c>
      <c r="C1846" s="13" t="s">
        <v>143</v>
      </c>
      <c r="D1846" s="13" t="s">
        <v>5834</v>
      </c>
      <c r="E1846" s="13" t="s">
        <v>93</v>
      </c>
      <c r="F1846" s="13" t="s">
        <v>5952</v>
      </c>
      <c r="G1846" s="20" t="str">
        <f>HYPERLINK("https://semena-nn.ru/catalog/46/888000001569","Фото")</f>
        <v>Фото</v>
      </c>
      <c r="H1846" s="19">
        <v>14.81</v>
      </c>
      <c r="I1846" s="27"/>
      <c r="J1846" s="13">
        <f>H1846*I1846</f>
        <v>0</v>
      </c>
    </row>
    <row r="1847" spans="1:10" ht="12" customHeight="1">
      <c r="A1847" s="13" t="s">
        <v>7524</v>
      </c>
      <c r="B1847" s="13" t="s">
        <v>7525</v>
      </c>
      <c r="C1847" s="13" t="s">
        <v>143</v>
      </c>
      <c r="D1847" s="13" t="s">
        <v>7148</v>
      </c>
      <c r="E1847" s="13" t="s">
        <v>93</v>
      </c>
      <c r="F1847" s="13" t="s">
        <v>7526</v>
      </c>
      <c r="G1847" s="20" t="str">
        <f>HYPERLINK("https://semena-nn.ru/catalog/46/999000013108","Фото")</f>
        <v>Фото</v>
      </c>
      <c r="H1847" s="18">
        <v>95.8</v>
      </c>
      <c r="I1847" s="27"/>
      <c r="J1847" s="13">
        <f>H1847*I1847</f>
        <v>0</v>
      </c>
    </row>
    <row r="1848" spans="1:10" ht="12" customHeight="1">
      <c r="A1848" s="13" t="s">
        <v>7527</v>
      </c>
      <c r="B1848" s="13" t="s">
        <v>7528</v>
      </c>
      <c r="C1848" s="13" t="s">
        <v>143</v>
      </c>
      <c r="D1848" s="13" t="s">
        <v>7148</v>
      </c>
      <c r="E1848" s="13" t="s">
        <v>93</v>
      </c>
      <c r="F1848" s="13" t="s">
        <v>7529</v>
      </c>
      <c r="G1848" s="20" t="str">
        <f>HYPERLINK("http://semena-nn.ru/catalog/46/1314236","Фото")</f>
        <v>Фото</v>
      </c>
      <c r="H1848" s="18">
        <v>85.7</v>
      </c>
      <c r="I1848" s="27"/>
      <c r="J1848" s="13">
        <f>H1848*I1848</f>
        <v>0</v>
      </c>
    </row>
    <row r="1849" spans="1:10" ht="12" customHeight="1">
      <c r="A1849" s="13" t="s">
        <v>4247</v>
      </c>
      <c r="B1849" s="13" t="s">
        <v>4248</v>
      </c>
      <c r="C1849" s="13" t="s">
        <v>143</v>
      </c>
      <c r="D1849" s="13" t="s">
        <v>3475</v>
      </c>
      <c r="E1849" s="13" t="s">
        <v>93</v>
      </c>
      <c r="F1849" s="13" t="s">
        <v>4249</v>
      </c>
      <c r="G1849" s="20" t="str">
        <f>HYPERLINK("http://semena-nn.ru/catalog/46/7014","Фото")</f>
        <v>Фото</v>
      </c>
      <c r="H1849" s="18">
        <v>35.299999999999997</v>
      </c>
      <c r="I1849" s="27"/>
      <c r="J1849" s="13">
        <f>H1849*I1849</f>
        <v>0</v>
      </c>
    </row>
    <row r="1850" spans="1:10" ht="12" customHeight="1">
      <c r="A1850" s="13" t="s">
        <v>160</v>
      </c>
      <c r="B1850" s="13" t="s">
        <v>161</v>
      </c>
      <c r="C1850" s="13" t="s">
        <v>143</v>
      </c>
      <c r="D1850" s="13" t="s">
        <v>92</v>
      </c>
      <c r="E1850" s="13" t="s">
        <v>93</v>
      </c>
      <c r="F1850" s="13" t="s">
        <v>162</v>
      </c>
      <c r="G1850" s="20" t="str">
        <f>HYPERLINK("https://semena-nn.ru/catalog/46/888000000198","Фото")</f>
        <v>Фото</v>
      </c>
      <c r="H1850" s="19">
        <v>45.05</v>
      </c>
      <c r="I1850" s="27"/>
      <c r="J1850" s="13">
        <f>H1850*I1850</f>
        <v>0</v>
      </c>
    </row>
    <row r="1851" spans="1:10" ht="12" customHeight="1">
      <c r="A1851" s="13" t="s">
        <v>7530</v>
      </c>
      <c r="B1851" s="13" t="s">
        <v>7531</v>
      </c>
      <c r="C1851" s="13" t="s">
        <v>143</v>
      </c>
      <c r="D1851" s="13" t="s">
        <v>7148</v>
      </c>
      <c r="E1851" s="13" t="s">
        <v>93</v>
      </c>
      <c r="F1851" s="13" t="s">
        <v>7532</v>
      </c>
      <c r="G1851" s="20" t="str">
        <f>HYPERLINK("https://semena-nn.ru/catalog/46/888000000090","Фото")</f>
        <v>Фото</v>
      </c>
      <c r="H1851" s="18">
        <v>69.3</v>
      </c>
      <c r="I1851" s="27"/>
      <c r="J1851" s="13">
        <f>H1851*I1851</f>
        <v>0</v>
      </c>
    </row>
    <row r="1852" spans="1:10" ht="12" customHeight="1">
      <c r="A1852" s="13" t="s">
        <v>6578</v>
      </c>
      <c r="B1852" s="13" t="s">
        <v>6579</v>
      </c>
      <c r="C1852" s="13" t="s">
        <v>143</v>
      </c>
      <c r="D1852" s="13" t="s">
        <v>87</v>
      </c>
      <c r="E1852" s="13" t="s">
        <v>93</v>
      </c>
      <c r="F1852" s="13" t="s">
        <v>6580</v>
      </c>
      <c r="G1852" s="20" t="str">
        <f>HYPERLINK("https://semena-nn.ru/catalog/46/1303639","Фото")</f>
        <v>Фото</v>
      </c>
      <c r="H1852" s="18">
        <v>23.2</v>
      </c>
      <c r="I1852" s="27"/>
      <c r="J1852" s="13">
        <f>H1852*I1852</f>
        <v>0</v>
      </c>
    </row>
    <row r="1853" spans="1:10" ht="12" customHeight="1">
      <c r="A1853" s="13" t="s">
        <v>508</v>
      </c>
      <c r="B1853" s="13" t="s">
        <v>509</v>
      </c>
      <c r="C1853" s="13" t="s">
        <v>143</v>
      </c>
      <c r="D1853" s="13" t="s">
        <v>28</v>
      </c>
      <c r="E1853" s="13" t="s">
        <v>93</v>
      </c>
      <c r="F1853" s="13" t="s">
        <v>510</v>
      </c>
      <c r="G1853" s="20" t="str">
        <f>HYPERLINK("https://semena-nn.ru/catalog/46/999000013089","Фото")</f>
        <v>Фото</v>
      </c>
      <c r="H1853" s="19">
        <v>26.46</v>
      </c>
      <c r="I1853" s="27"/>
      <c r="J1853" s="13">
        <f>H1853*I1853</f>
        <v>0</v>
      </c>
    </row>
    <row r="1854" spans="1:10" ht="12" customHeight="1">
      <c r="A1854" s="13" t="s">
        <v>8602</v>
      </c>
      <c r="B1854" s="13" t="s">
        <v>8603</v>
      </c>
      <c r="C1854" s="13" t="s">
        <v>143</v>
      </c>
      <c r="D1854" s="13" t="s">
        <v>8498</v>
      </c>
      <c r="E1854" s="13" t="s">
        <v>93</v>
      </c>
      <c r="F1854" s="13" t="s">
        <v>8604</v>
      </c>
      <c r="G1854" s="20" t="str">
        <f>HYPERLINK("https://semena-nn.ru/catalog/46/999000007955","Фото")</f>
        <v>Фото</v>
      </c>
      <c r="H1854" s="18">
        <v>25.1</v>
      </c>
      <c r="I1854" s="27"/>
      <c r="J1854" s="13">
        <f>H1854*I1854</f>
        <v>0</v>
      </c>
    </row>
    <row r="1855" spans="1:10" ht="12" customHeight="1">
      <c r="A1855" s="13" t="s">
        <v>6581</v>
      </c>
      <c r="B1855" s="13" t="s">
        <v>6582</v>
      </c>
      <c r="C1855" s="13" t="s">
        <v>143</v>
      </c>
      <c r="D1855" s="13" t="s">
        <v>87</v>
      </c>
      <c r="E1855" s="13" t="s">
        <v>93</v>
      </c>
      <c r="F1855" s="13" t="s">
        <v>6583</v>
      </c>
      <c r="G1855" s="20" t="str">
        <f>HYPERLINK("https://semena-nn.ru/catalog/46/1304178","Фото")</f>
        <v>Фото</v>
      </c>
      <c r="H1855" s="19">
        <v>26.15</v>
      </c>
      <c r="I1855" s="27"/>
      <c r="J1855" s="13">
        <f>H1855*I1855</f>
        <v>0</v>
      </c>
    </row>
    <row r="1856" spans="1:10" ht="12" customHeight="1">
      <c r="A1856" s="13" t="s">
        <v>5440</v>
      </c>
      <c r="B1856" s="13" t="s">
        <v>5441</v>
      </c>
      <c r="C1856" s="13" t="s">
        <v>143</v>
      </c>
      <c r="D1856" s="13" t="s">
        <v>5136</v>
      </c>
      <c r="E1856" s="13" t="s">
        <v>93</v>
      </c>
      <c r="F1856" s="13" t="s">
        <v>5442</v>
      </c>
      <c r="G1856" s="20" t="str">
        <f>HYPERLINK("https://semena-nn.ru/catalog/46/999000013238","Фото")</f>
        <v>Фото</v>
      </c>
      <c r="H1856" s="15">
        <v>56</v>
      </c>
      <c r="I1856" s="27"/>
      <c r="J1856" s="13">
        <f>H1856*I1856</f>
        <v>0</v>
      </c>
    </row>
    <row r="1857" spans="1:10" ht="12" customHeight="1">
      <c r="A1857" s="13" t="s">
        <v>7533</v>
      </c>
      <c r="B1857" s="13" t="s">
        <v>7534</v>
      </c>
      <c r="C1857" s="13" t="s">
        <v>143</v>
      </c>
      <c r="D1857" s="13" t="s">
        <v>7148</v>
      </c>
      <c r="E1857" s="13" t="s">
        <v>93</v>
      </c>
      <c r="F1857" s="13" t="s">
        <v>7535</v>
      </c>
      <c r="G1857" s="20" t="str">
        <f>HYPERLINK("https://semena-nn.ru/catalog/46/999000013110","Фото")</f>
        <v>Фото</v>
      </c>
      <c r="H1857" s="18">
        <v>146.19999999999999</v>
      </c>
      <c r="I1857" s="27"/>
      <c r="J1857" s="13">
        <f>H1857*I1857</f>
        <v>0</v>
      </c>
    </row>
    <row r="1858" spans="1:10" ht="12" customHeight="1">
      <c r="A1858" s="13" t="s">
        <v>8605</v>
      </c>
      <c r="B1858" s="13" t="s">
        <v>8606</v>
      </c>
      <c r="C1858" s="13" t="s">
        <v>143</v>
      </c>
      <c r="D1858" s="13" t="s">
        <v>8498</v>
      </c>
      <c r="E1858" s="13" t="s">
        <v>93</v>
      </c>
      <c r="F1858" s="13" t="s">
        <v>8607</v>
      </c>
      <c r="G1858" s="20" t="str">
        <f>HYPERLINK("http://semena-nn.ru/catalog/46/1308836","Фото")</f>
        <v>Фото</v>
      </c>
      <c r="H1858" s="19">
        <v>19.25</v>
      </c>
      <c r="I1858" s="27"/>
      <c r="J1858" s="13">
        <f>H1858*I1858</f>
        <v>0</v>
      </c>
    </row>
    <row r="1859" spans="1:10" ht="12" customHeight="1">
      <c r="A1859" s="13" t="s">
        <v>7536</v>
      </c>
      <c r="B1859" s="13" t="s">
        <v>7537</v>
      </c>
      <c r="C1859" s="13" t="s">
        <v>143</v>
      </c>
      <c r="D1859" s="13" t="s">
        <v>7148</v>
      </c>
      <c r="E1859" s="13" t="s">
        <v>93</v>
      </c>
      <c r="F1859" s="13" t="s">
        <v>7538</v>
      </c>
      <c r="G1859" s="20" t="str">
        <f>HYPERLINK("https://semena-nn.ru/catalog/46/888000000358","Фото")</f>
        <v>Фото</v>
      </c>
      <c r="H1859" s="18">
        <v>65.5</v>
      </c>
      <c r="I1859" s="27"/>
      <c r="J1859" s="13">
        <f>H1859*I1859</f>
        <v>0</v>
      </c>
    </row>
    <row r="1860" spans="1:10" ht="12" customHeight="1">
      <c r="A1860" s="13" t="s">
        <v>5098</v>
      </c>
      <c r="B1860" s="13" t="s">
        <v>5099</v>
      </c>
      <c r="C1860" s="13" t="s">
        <v>143</v>
      </c>
      <c r="D1860" s="13" t="s">
        <v>5045</v>
      </c>
      <c r="E1860" s="13" t="s">
        <v>93</v>
      </c>
      <c r="F1860" s="13" t="s">
        <v>5100</v>
      </c>
      <c r="G1860" s="20" t="str">
        <f>HYPERLINK("http://semena-nn.ru/catalog/46/1125979","Фото")</f>
        <v>Фото</v>
      </c>
      <c r="H1860" s="18">
        <v>31.5</v>
      </c>
      <c r="I1860" s="27"/>
      <c r="J1860" s="13">
        <f>H1860*I1860</f>
        <v>0</v>
      </c>
    </row>
    <row r="1861" spans="1:10" ht="12" customHeight="1">
      <c r="A1861" s="13" t="s">
        <v>5443</v>
      </c>
      <c r="B1861" s="13" t="s">
        <v>5444</v>
      </c>
      <c r="C1861" s="13" t="s">
        <v>143</v>
      </c>
      <c r="D1861" s="13" t="s">
        <v>5136</v>
      </c>
      <c r="E1861" s="13" t="s">
        <v>93</v>
      </c>
      <c r="F1861" s="13" t="s">
        <v>5445</v>
      </c>
      <c r="G1861" s="20" t="str">
        <f>HYPERLINK("https://semena-nn.ru/catalog/46/999000013239","Фото")</f>
        <v>Фото</v>
      </c>
      <c r="H1861" s="15">
        <v>72</v>
      </c>
      <c r="I1861" s="27"/>
      <c r="J1861" s="13">
        <f>H1861*I1861</f>
        <v>0</v>
      </c>
    </row>
    <row r="1862" spans="1:10" ht="12" customHeight="1">
      <c r="A1862" s="13" t="s">
        <v>5446</v>
      </c>
      <c r="B1862" s="13" t="s">
        <v>5447</v>
      </c>
      <c r="C1862" s="13" t="s">
        <v>143</v>
      </c>
      <c r="D1862" s="13" t="s">
        <v>5136</v>
      </c>
      <c r="E1862" s="13" t="s">
        <v>93</v>
      </c>
      <c r="F1862" s="13" t="s">
        <v>5448</v>
      </c>
      <c r="G1862" s="20" t="str">
        <f>HYPERLINK("https://semena-nn.ru/catalog/46/888000000136","Фото")</f>
        <v>Фото</v>
      </c>
      <c r="H1862" s="15">
        <v>56</v>
      </c>
      <c r="I1862" s="27"/>
      <c r="J1862" s="13">
        <f>H1862*I1862</f>
        <v>0</v>
      </c>
    </row>
    <row r="1863" spans="1:10" ht="12" customHeight="1">
      <c r="A1863" s="13" t="s">
        <v>5449</v>
      </c>
      <c r="B1863" s="13" t="s">
        <v>5450</v>
      </c>
      <c r="C1863" s="13" t="s">
        <v>143</v>
      </c>
      <c r="D1863" s="13" t="s">
        <v>5136</v>
      </c>
      <c r="E1863" s="13" t="s">
        <v>93</v>
      </c>
      <c r="F1863" s="13" t="s">
        <v>5451</v>
      </c>
      <c r="G1863" s="20" t="str">
        <f>HYPERLINK("https://semena-nn.ru/catalog/46/999000013240","Фото")</f>
        <v>Фото</v>
      </c>
      <c r="H1863" s="15">
        <v>57</v>
      </c>
      <c r="I1863" s="27"/>
      <c r="J1863" s="13">
        <f>H1863*I1863</f>
        <v>0</v>
      </c>
    </row>
    <row r="1864" spans="1:10" ht="12" customHeight="1">
      <c r="A1864" s="13" t="s">
        <v>6269</v>
      </c>
      <c r="B1864" s="13" t="s">
        <v>6270</v>
      </c>
      <c r="C1864" s="13" t="s">
        <v>143</v>
      </c>
      <c r="D1864" s="13"/>
      <c r="E1864" s="13" t="s">
        <v>93</v>
      </c>
      <c r="F1864" s="13" t="s">
        <v>6271</v>
      </c>
      <c r="G1864" s="20" t="str">
        <f>HYPERLINK("https://semena-nn.ru/catalog/46/888000000174","Фото")</f>
        <v>Фото</v>
      </c>
      <c r="H1864" s="15">
        <v>98</v>
      </c>
      <c r="I1864" s="27"/>
      <c r="J1864" s="13">
        <f>H1864*I1864</f>
        <v>0</v>
      </c>
    </row>
    <row r="1865" spans="1:10" ht="12" customHeight="1">
      <c r="A1865" s="13" t="s">
        <v>5452</v>
      </c>
      <c r="B1865" s="13" t="s">
        <v>5453</v>
      </c>
      <c r="C1865" s="13" t="s">
        <v>143</v>
      </c>
      <c r="D1865" s="13" t="s">
        <v>5136</v>
      </c>
      <c r="E1865" s="13" t="s">
        <v>93</v>
      </c>
      <c r="F1865" s="13" t="s">
        <v>5454</v>
      </c>
      <c r="G1865" s="20" t="str">
        <f>HYPERLINK("https://semena-nn.ru/catalog/46/888000000138","Фото")</f>
        <v>Фото</v>
      </c>
      <c r="H1865" s="15">
        <v>75</v>
      </c>
      <c r="I1865" s="27"/>
      <c r="J1865" s="13">
        <f>H1865*I1865</f>
        <v>0</v>
      </c>
    </row>
    <row r="1866" spans="1:10" ht="12" customHeight="1">
      <c r="A1866" s="13" t="s">
        <v>6272</v>
      </c>
      <c r="B1866" s="13" t="s">
        <v>6273</v>
      </c>
      <c r="C1866" s="13" t="s">
        <v>143</v>
      </c>
      <c r="D1866" s="13"/>
      <c r="E1866" s="13" t="s">
        <v>93</v>
      </c>
      <c r="F1866" s="13" t="s">
        <v>6274</v>
      </c>
      <c r="G1866" s="20" t="str">
        <f>HYPERLINK("https://semena-nn.ru/catalog/46/888000000175","Фото")</f>
        <v>Фото</v>
      </c>
      <c r="H1866" s="15">
        <v>98</v>
      </c>
      <c r="I1866" s="27"/>
      <c r="J1866" s="13">
        <f>H1866*I1866</f>
        <v>0</v>
      </c>
    </row>
    <row r="1867" spans="1:10" ht="12" customHeight="1">
      <c r="A1867" s="13" t="s">
        <v>5455</v>
      </c>
      <c r="B1867" s="13" t="s">
        <v>5456</v>
      </c>
      <c r="C1867" s="13" t="s">
        <v>143</v>
      </c>
      <c r="D1867" s="13" t="s">
        <v>5136</v>
      </c>
      <c r="E1867" s="13" t="s">
        <v>93</v>
      </c>
      <c r="F1867" s="13" t="s">
        <v>5457</v>
      </c>
      <c r="G1867" s="20" t="str">
        <f>HYPERLINK("https://semena-nn.ru/catalog/46/888000000139","Фото")</f>
        <v>Фото</v>
      </c>
      <c r="H1867" s="15">
        <v>48</v>
      </c>
      <c r="I1867" s="27"/>
      <c r="J1867" s="13">
        <f>H1867*I1867</f>
        <v>0</v>
      </c>
    </row>
    <row r="1868" spans="1:10" ht="12" customHeight="1">
      <c r="A1868" s="13" t="s">
        <v>6275</v>
      </c>
      <c r="B1868" s="13" t="s">
        <v>6276</v>
      </c>
      <c r="C1868" s="13" t="s">
        <v>143</v>
      </c>
      <c r="D1868" s="13"/>
      <c r="E1868" s="13" t="s">
        <v>93</v>
      </c>
      <c r="F1868" s="13" t="s">
        <v>6277</v>
      </c>
      <c r="G1868" s="20" t="str">
        <f>HYPERLINK("https://semena-nn.ru/catalog/46/888000000176","Фото")</f>
        <v>Фото</v>
      </c>
      <c r="H1868" s="15">
        <v>91</v>
      </c>
      <c r="I1868" s="27"/>
      <c r="J1868" s="13">
        <f>H1868*I1868</f>
        <v>0</v>
      </c>
    </row>
    <row r="1869" spans="1:10" ht="12" customHeight="1">
      <c r="A1869" s="13" t="s">
        <v>5458</v>
      </c>
      <c r="B1869" s="13" t="s">
        <v>5459</v>
      </c>
      <c r="C1869" s="13" t="s">
        <v>143</v>
      </c>
      <c r="D1869" s="13" t="s">
        <v>5136</v>
      </c>
      <c r="E1869" s="13" t="s">
        <v>93</v>
      </c>
      <c r="F1869" s="13" t="s">
        <v>5460</v>
      </c>
      <c r="G1869" s="20" t="str">
        <f>HYPERLINK("https://semena-nn.ru/catalog/46/888000000140","Фото")</f>
        <v>Фото</v>
      </c>
      <c r="H1869" s="15">
        <v>48</v>
      </c>
      <c r="I1869" s="27"/>
      <c r="J1869" s="13">
        <f>H1869*I1869</f>
        <v>0</v>
      </c>
    </row>
    <row r="1870" spans="1:10" ht="12" customHeight="1">
      <c r="A1870" s="13" t="s">
        <v>6278</v>
      </c>
      <c r="B1870" s="13" t="s">
        <v>6279</v>
      </c>
      <c r="C1870" s="13" t="s">
        <v>143</v>
      </c>
      <c r="D1870" s="13"/>
      <c r="E1870" s="13" t="s">
        <v>93</v>
      </c>
      <c r="F1870" s="13" t="s">
        <v>6280</v>
      </c>
      <c r="G1870" s="20" t="str">
        <f>HYPERLINK("https://semena-nn.ru/catalog/46/888000000177","Фото")</f>
        <v>Фото</v>
      </c>
      <c r="H1870" s="19">
        <v>97.65</v>
      </c>
      <c r="I1870" s="27"/>
      <c r="J1870" s="13">
        <f>H1870*I1870</f>
        <v>0</v>
      </c>
    </row>
    <row r="1871" spans="1:10" ht="12" customHeight="1">
      <c r="A1871" s="13" t="s">
        <v>5461</v>
      </c>
      <c r="B1871" s="13" t="s">
        <v>5462</v>
      </c>
      <c r="C1871" s="13" t="s">
        <v>143</v>
      </c>
      <c r="D1871" s="13" t="s">
        <v>5136</v>
      </c>
      <c r="E1871" s="13" t="s">
        <v>93</v>
      </c>
      <c r="F1871" s="13" t="s">
        <v>5463</v>
      </c>
      <c r="G1871" s="20" t="str">
        <f>HYPERLINK("https://semena-nn.ru/catalog/46/888000000636","Фото")</f>
        <v>Фото</v>
      </c>
      <c r="H1871" s="18">
        <v>52.5</v>
      </c>
      <c r="I1871" s="27"/>
      <c r="J1871" s="13">
        <f>H1871*I1871</f>
        <v>0</v>
      </c>
    </row>
    <row r="1872" spans="1:10" ht="12" customHeight="1">
      <c r="A1872" s="13" t="s">
        <v>5464</v>
      </c>
      <c r="B1872" s="13" t="s">
        <v>5465</v>
      </c>
      <c r="C1872" s="13" t="s">
        <v>143</v>
      </c>
      <c r="D1872" s="13" t="s">
        <v>5136</v>
      </c>
      <c r="E1872" s="13" t="s">
        <v>93</v>
      </c>
      <c r="F1872" s="13" t="s">
        <v>5466</v>
      </c>
      <c r="G1872" s="20" t="str">
        <f>HYPERLINK("https://semena-nn.ru/catalog/46/888000000141","Фото")</f>
        <v>Фото</v>
      </c>
      <c r="H1872" s="18">
        <v>52.5</v>
      </c>
      <c r="I1872" s="27"/>
      <c r="J1872" s="13">
        <f>H1872*I1872</f>
        <v>0</v>
      </c>
    </row>
    <row r="1873" spans="1:10" ht="12" customHeight="1">
      <c r="A1873" s="13" t="s">
        <v>6281</v>
      </c>
      <c r="B1873" s="13" t="s">
        <v>6282</v>
      </c>
      <c r="C1873" s="13" t="s">
        <v>143</v>
      </c>
      <c r="D1873" s="13"/>
      <c r="E1873" s="13" t="s">
        <v>93</v>
      </c>
      <c r="F1873" s="13" t="s">
        <v>6283</v>
      </c>
      <c r="G1873" s="20" t="str">
        <f>HYPERLINK("https://semena-nn.ru/catalog/46/888000000178","Фото")</f>
        <v>Фото</v>
      </c>
      <c r="H1873" s="18">
        <v>94.5</v>
      </c>
      <c r="I1873" s="27"/>
      <c r="J1873" s="13">
        <f>H1873*I1873</f>
        <v>0</v>
      </c>
    </row>
    <row r="1874" spans="1:10" ht="12" customHeight="1">
      <c r="A1874" s="13" t="s">
        <v>5467</v>
      </c>
      <c r="B1874" s="13" t="s">
        <v>5468</v>
      </c>
      <c r="C1874" s="13" t="s">
        <v>143</v>
      </c>
      <c r="D1874" s="13" t="s">
        <v>5136</v>
      </c>
      <c r="E1874" s="13" t="s">
        <v>93</v>
      </c>
      <c r="F1874" s="13" t="s">
        <v>5469</v>
      </c>
      <c r="G1874" s="20" t="str">
        <f>HYPERLINK("https://semena-nn.ru/catalog/46/888000000142","Фото")</f>
        <v>Фото</v>
      </c>
      <c r="H1874" s="18">
        <v>52.5</v>
      </c>
      <c r="I1874" s="27"/>
      <c r="J1874" s="13">
        <f>H1874*I1874</f>
        <v>0</v>
      </c>
    </row>
    <row r="1875" spans="1:10" ht="12" customHeight="1">
      <c r="A1875" s="13" t="s">
        <v>5470</v>
      </c>
      <c r="B1875" s="13" t="s">
        <v>5471</v>
      </c>
      <c r="C1875" s="13" t="s">
        <v>143</v>
      </c>
      <c r="D1875" s="13" t="s">
        <v>5136</v>
      </c>
      <c r="E1875" s="13" t="s">
        <v>93</v>
      </c>
      <c r="F1875" s="13" t="s">
        <v>5472</v>
      </c>
      <c r="G1875" s="20" t="str">
        <f>HYPERLINK("https://semena-nn.ru/catalog/46/999000013241","Фото")</f>
        <v>Фото</v>
      </c>
      <c r="H1875" s="15">
        <v>63</v>
      </c>
      <c r="I1875" s="27"/>
      <c r="J1875" s="13">
        <f>H1875*I1875</f>
        <v>0</v>
      </c>
    </row>
    <row r="1876" spans="1:10" ht="12" customHeight="1">
      <c r="A1876" s="13" t="s">
        <v>5473</v>
      </c>
      <c r="B1876" s="13" t="s">
        <v>5474</v>
      </c>
      <c r="C1876" s="13" t="s">
        <v>143</v>
      </c>
      <c r="D1876" s="13" t="s">
        <v>5136</v>
      </c>
      <c r="E1876" s="13" t="s">
        <v>93</v>
      </c>
      <c r="F1876" s="13" t="s">
        <v>5475</v>
      </c>
      <c r="G1876" s="20" t="str">
        <f>HYPERLINK("https://semena-nn.ru/catalog/46/999000019914","Фото")</f>
        <v>Фото</v>
      </c>
      <c r="H1876" s="15">
        <v>63</v>
      </c>
      <c r="I1876" s="27"/>
      <c r="J1876" s="13">
        <f>H1876*I1876</f>
        <v>0</v>
      </c>
    </row>
    <row r="1877" spans="1:10" ht="12" customHeight="1">
      <c r="A1877" s="13" t="s">
        <v>6284</v>
      </c>
      <c r="B1877" s="13" t="s">
        <v>6285</v>
      </c>
      <c r="C1877" s="13" t="s">
        <v>143</v>
      </c>
      <c r="D1877" s="13"/>
      <c r="E1877" s="13" t="s">
        <v>93</v>
      </c>
      <c r="F1877" s="13" t="s">
        <v>6286</v>
      </c>
      <c r="G1877" s="20" t="str">
        <f>HYPERLINK("https://semena-nn.ru/catalog/46/888000000179","Фото")</f>
        <v>Фото</v>
      </c>
      <c r="H1877" s="18">
        <v>115.5</v>
      </c>
      <c r="I1877" s="27"/>
      <c r="J1877" s="13">
        <f>H1877*I1877</f>
        <v>0</v>
      </c>
    </row>
    <row r="1878" spans="1:10" ht="12" customHeight="1">
      <c r="A1878" s="13" t="s">
        <v>8608</v>
      </c>
      <c r="B1878" s="13" t="s">
        <v>8609</v>
      </c>
      <c r="C1878" s="13" t="s">
        <v>143</v>
      </c>
      <c r="D1878" s="13" t="s">
        <v>8498</v>
      </c>
      <c r="E1878" s="13" t="s">
        <v>93</v>
      </c>
      <c r="F1878" s="13" t="s">
        <v>8610</v>
      </c>
      <c r="G1878" s="20" t="str">
        <f>HYPERLINK("https://semena-nn.ru/catalog/46/999000011367","Фото")</f>
        <v>Фото</v>
      </c>
      <c r="H1878" s="18">
        <v>29.3</v>
      </c>
      <c r="I1878" s="27"/>
      <c r="J1878" s="13">
        <f>H1878*I1878</f>
        <v>0</v>
      </c>
    </row>
    <row r="1879" spans="1:10" ht="12" customHeight="1">
      <c r="A1879" s="13" t="s">
        <v>5476</v>
      </c>
      <c r="B1879" s="13" t="s">
        <v>5477</v>
      </c>
      <c r="C1879" s="13" t="s">
        <v>143</v>
      </c>
      <c r="D1879" s="13" t="s">
        <v>5136</v>
      </c>
      <c r="E1879" s="13" t="s">
        <v>93</v>
      </c>
      <c r="F1879" s="13" t="s">
        <v>5478</v>
      </c>
      <c r="G1879" s="20" t="str">
        <f>HYPERLINK("https://semena-nn.ru/catalog/46/999000019915","Фото")</f>
        <v>Фото</v>
      </c>
      <c r="H1879" s="15">
        <v>67</v>
      </c>
      <c r="I1879" s="27"/>
      <c r="J1879" s="13">
        <f>H1879*I1879</f>
        <v>0</v>
      </c>
    </row>
    <row r="1880" spans="1:10" ht="12" customHeight="1">
      <c r="A1880" s="13" t="s">
        <v>5479</v>
      </c>
      <c r="B1880" s="13" t="s">
        <v>5480</v>
      </c>
      <c r="C1880" s="13" t="s">
        <v>143</v>
      </c>
      <c r="D1880" s="13" t="s">
        <v>5136</v>
      </c>
      <c r="E1880" s="13" t="s">
        <v>93</v>
      </c>
      <c r="F1880" s="13" t="s">
        <v>5481</v>
      </c>
      <c r="G1880" s="20" t="str">
        <f>HYPERLINK("https://semena-nn.ru/catalog/46/999000013243","Фото")</f>
        <v>Фото</v>
      </c>
      <c r="H1880" s="15">
        <v>72</v>
      </c>
      <c r="I1880" s="27"/>
      <c r="J1880" s="13">
        <f>H1880*I1880</f>
        <v>0</v>
      </c>
    </row>
    <row r="1881" spans="1:10" ht="12" customHeight="1">
      <c r="A1881" s="13" t="s">
        <v>5482</v>
      </c>
      <c r="B1881" s="13" t="s">
        <v>5483</v>
      </c>
      <c r="C1881" s="13" t="s">
        <v>143</v>
      </c>
      <c r="D1881" s="13" t="s">
        <v>5136</v>
      </c>
      <c r="E1881" s="13" t="s">
        <v>93</v>
      </c>
      <c r="F1881" s="13" t="s">
        <v>5484</v>
      </c>
      <c r="G1881" s="20" t="str">
        <f>HYPERLINK("https://semena-nn.ru/catalog/46/999000019916","Фото")</f>
        <v>Фото</v>
      </c>
      <c r="H1881" s="15">
        <v>57</v>
      </c>
      <c r="I1881" s="27"/>
      <c r="J1881" s="13">
        <f>H1881*I1881</f>
        <v>0</v>
      </c>
    </row>
    <row r="1882" spans="1:10" ht="12" customHeight="1">
      <c r="A1882" s="13" t="s">
        <v>5485</v>
      </c>
      <c r="B1882" s="13" t="s">
        <v>5486</v>
      </c>
      <c r="C1882" s="13" t="s">
        <v>143</v>
      </c>
      <c r="D1882" s="13" t="s">
        <v>5136</v>
      </c>
      <c r="E1882" s="13" t="s">
        <v>93</v>
      </c>
      <c r="F1882" s="13" t="s">
        <v>5487</v>
      </c>
      <c r="G1882" s="20" t="str">
        <f>HYPERLINK("https://semena-nn.ru/catalog/46/1313895","Фото")</f>
        <v>Фото</v>
      </c>
      <c r="H1882" s="15">
        <v>79</v>
      </c>
      <c r="I1882" s="27"/>
      <c r="J1882" s="13">
        <f>H1882*I1882</f>
        <v>0</v>
      </c>
    </row>
    <row r="1883" spans="1:10" ht="12" customHeight="1">
      <c r="A1883" s="13" t="s">
        <v>5488</v>
      </c>
      <c r="B1883" s="13" t="s">
        <v>5489</v>
      </c>
      <c r="C1883" s="13" t="s">
        <v>143</v>
      </c>
      <c r="D1883" s="13" t="s">
        <v>5136</v>
      </c>
      <c r="E1883" s="13" t="s">
        <v>93</v>
      </c>
      <c r="F1883" s="13" t="s">
        <v>5490</v>
      </c>
      <c r="G1883" s="20" t="str">
        <f>HYPERLINK("https://semena-nn.ru/catalog/46/888000000143","Фото")</f>
        <v>Фото</v>
      </c>
      <c r="H1883" s="15">
        <v>56</v>
      </c>
      <c r="I1883" s="27"/>
      <c r="J1883" s="13">
        <f>H1883*I1883</f>
        <v>0</v>
      </c>
    </row>
    <row r="1884" spans="1:10" ht="12" customHeight="1">
      <c r="A1884" s="13" t="s">
        <v>5491</v>
      </c>
      <c r="B1884" s="13" t="s">
        <v>5492</v>
      </c>
      <c r="C1884" s="13" t="s">
        <v>143</v>
      </c>
      <c r="D1884" s="13" t="s">
        <v>5136</v>
      </c>
      <c r="E1884" s="13" t="s">
        <v>93</v>
      </c>
      <c r="F1884" s="13" t="s">
        <v>5493</v>
      </c>
      <c r="G1884" s="20" t="str">
        <f>HYPERLINK("https://semena-nn.ru/catalog/46/1313896","Фото")</f>
        <v>Фото</v>
      </c>
      <c r="H1884" s="15">
        <v>56</v>
      </c>
      <c r="I1884" s="27"/>
      <c r="J1884" s="13">
        <f>H1884*I1884</f>
        <v>0</v>
      </c>
    </row>
    <row r="1885" spans="1:10" ht="12" customHeight="1">
      <c r="A1885" s="13" t="s">
        <v>6287</v>
      </c>
      <c r="B1885" s="13" t="s">
        <v>6288</v>
      </c>
      <c r="C1885" s="13" t="s">
        <v>143</v>
      </c>
      <c r="D1885" s="13"/>
      <c r="E1885" s="13" t="s">
        <v>93</v>
      </c>
      <c r="F1885" s="13" t="s">
        <v>6289</v>
      </c>
      <c r="G1885" s="20" t="str">
        <f>HYPERLINK("https://semena-nn.ru/catalog/46/888000000180","Фото")</f>
        <v>Фото</v>
      </c>
      <c r="H1885" s="19">
        <v>87.15</v>
      </c>
      <c r="I1885" s="27"/>
      <c r="J1885" s="13">
        <f>H1885*I1885</f>
        <v>0</v>
      </c>
    </row>
    <row r="1886" spans="1:10" ht="12" customHeight="1">
      <c r="A1886" s="13" t="s">
        <v>5494</v>
      </c>
      <c r="B1886" s="13" t="s">
        <v>5495</v>
      </c>
      <c r="C1886" s="13" t="s">
        <v>143</v>
      </c>
      <c r="D1886" s="13" t="s">
        <v>5136</v>
      </c>
      <c r="E1886" s="13" t="s">
        <v>93</v>
      </c>
      <c r="F1886" s="13" t="s">
        <v>5496</v>
      </c>
      <c r="G1886" s="20" t="str">
        <f>HYPERLINK("https://semena-nn.ru/catalog/46/1313900","Фото")</f>
        <v>Фото</v>
      </c>
      <c r="H1886" s="15">
        <v>72</v>
      </c>
      <c r="I1886" s="27"/>
      <c r="J1886" s="13">
        <f>H1886*I1886</f>
        <v>0</v>
      </c>
    </row>
    <row r="1887" spans="1:10" ht="12" customHeight="1">
      <c r="A1887" s="13" t="s">
        <v>5497</v>
      </c>
      <c r="B1887" s="13" t="s">
        <v>5498</v>
      </c>
      <c r="C1887" s="13" t="s">
        <v>143</v>
      </c>
      <c r="D1887" s="13" t="s">
        <v>5136</v>
      </c>
      <c r="E1887" s="13" t="s">
        <v>93</v>
      </c>
      <c r="F1887" s="13" t="s">
        <v>5499</v>
      </c>
      <c r="G1887" s="20" t="str">
        <f>HYPERLINK("https://semena-nn.ru/catalog/46/1313901","Фото")</f>
        <v>Фото</v>
      </c>
      <c r="H1887" s="15">
        <v>72</v>
      </c>
      <c r="I1887" s="27"/>
      <c r="J1887" s="13">
        <f>H1887*I1887</f>
        <v>0</v>
      </c>
    </row>
    <row r="1888" spans="1:10" ht="12" customHeight="1">
      <c r="A1888" s="13" t="s">
        <v>5500</v>
      </c>
      <c r="B1888" s="13" t="s">
        <v>5501</v>
      </c>
      <c r="C1888" s="13" t="s">
        <v>143</v>
      </c>
      <c r="D1888" s="13" t="s">
        <v>5136</v>
      </c>
      <c r="E1888" s="13" t="s">
        <v>93</v>
      </c>
      <c r="F1888" s="13" t="s">
        <v>5502</v>
      </c>
      <c r="G1888" s="20" t="str">
        <f>HYPERLINK("https://semena-nn.ru/catalog/46/999000013245","Фото")</f>
        <v>Фото</v>
      </c>
      <c r="H1888" s="15">
        <v>56</v>
      </c>
      <c r="I1888" s="27"/>
      <c r="J1888" s="13">
        <f>H1888*I1888</f>
        <v>0</v>
      </c>
    </row>
    <row r="1889" spans="1:10" ht="12" customHeight="1">
      <c r="A1889" s="13" t="s">
        <v>7539</v>
      </c>
      <c r="B1889" s="13" t="s">
        <v>7540</v>
      </c>
      <c r="C1889" s="13" t="s">
        <v>143</v>
      </c>
      <c r="D1889" s="13" t="s">
        <v>7148</v>
      </c>
      <c r="E1889" s="13" t="s">
        <v>93</v>
      </c>
      <c r="F1889" s="17" t="s">
        <v>7541</v>
      </c>
      <c r="G1889" s="20" t="str">
        <f>HYPERLINK("http://semena-nn.ru/catalog/46/1313065","Фото")</f>
        <v>Фото</v>
      </c>
      <c r="H1889" s="18">
        <v>65.5</v>
      </c>
      <c r="I1889" s="27"/>
      <c r="J1889" s="13">
        <f>H1889*I1889</f>
        <v>0</v>
      </c>
    </row>
    <row r="1890" spans="1:10" ht="12" customHeight="1">
      <c r="A1890" s="13" t="s">
        <v>8198</v>
      </c>
      <c r="B1890" s="13" t="s">
        <v>8199</v>
      </c>
      <c r="C1890" s="13" t="s">
        <v>143</v>
      </c>
      <c r="D1890" s="13" t="s">
        <v>7728</v>
      </c>
      <c r="E1890" s="13" t="s">
        <v>93</v>
      </c>
      <c r="F1890" s="13" t="s">
        <v>8200</v>
      </c>
      <c r="G1890" s="20" t="str">
        <f>HYPERLINK("http://semena-nn.ru/catalog/46/101184","Фото")</f>
        <v>Фото</v>
      </c>
      <c r="H1890" s="18">
        <v>45.4</v>
      </c>
      <c r="I1890" s="27"/>
      <c r="J1890" s="13">
        <f>H1890*I1890</f>
        <v>0</v>
      </c>
    </row>
    <row r="1891" spans="1:10" ht="12" customHeight="1">
      <c r="A1891" s="13" t="s">
        <v>511</v>
      </c>
      <c r="B1891" s="13" t="s">
        <v>512</v>
      </c>
      <c r="C1891" s="13" t="s">
        <v>143</v>
      </c>
      <c r="D1891" s="13" t="s">
        <v>28</v>
      </c>
      <c r="E1891" s="13" t="s">
        <v>93</v>
      </c>
      <c r="F1891" s="13" t="s">
        <v>513</v>
      </c>
      <c r="G1891" s="20" t="str">
        <f>HYPERLINK("https://semena-nn.ru/catalog/46/999000011223","Фото")</f>
        <v>Фото</v>
      </c>
      <c r="H1891" s="18">
        <v>48.2</v>
      </c>
      <c r="I1891" s="27"/>
      <c r="J1891" s="13">
        <f>H1891*I1891</f>
        <v>0</v>
      </c>
    </row>
    <row r="1892" spans="1:10" ht="12" customHeight="1">
      <c r="A1892" s="13" t="s">
        <v>5503</v>
      </c>
      <c r="B1892" s="13" t="s">
        <v>5504</v>
      </c>
      <c r="C1892" s="13" t="s">
        <v>143</v>
      </c>
      <c r="D1892" s="13" t="s">
        <v>5136</v>
      </c>
      <c r="E1892" s="13" t="s">
        <v>93</v>
      </c>
      <c r="F1892" s="13" t="s">
        <v>5505</v>
      </c>
      <c r="G1892" s="20" t="str">
        <f>HYPERLINK("https://semena-nn.ru/catalog/46/1299972","Фото")</f>
        <v>Фото</v>
      </c>
      <c r="H1892" s="15">
        <v>63</v>
      </c>
      <c r="I1892" s="27"/>
      <c r="J1892" s="13">
        <f>H1892*I1892</f>
        <v>0</v>
      </c>
    </row>
    <row r="1893" spans="1:10" ht="12" customHeight="1">
      <c r="A1893" s="13" t="s">
        <v>514</v>
      </c>
      <c r="B1893" s="13" t="s">
        <v>515</v>
      </c>
      <c r="C1893" s="13" t="s">
        <v>143</v>
      </c>
      <c r="D1893" s="13" t="s">
        <v>28</v>
      </c>
      <c r="E1893" s="13" t="s">
        <v>93</v>
      </c>
      <c r="F1893" s="13" t="s">
        <v>516</v>
      </c>
      <c r="G1893" s="20" t="str">
        <f>HYPERLINK("https://semena-nn.ru/catalog/46/999000010040","Фото")</f>
        <v>Фото</v>
      </c>
      <c r="H1893" s="19">
        <v>46.41</v>
      </c>
      <c r="I1893" s="27"/>
      <c r="J1893" s="13">
        <f>H1893*I1893</f>
        <v>0</v>
      </c>
    </row>
    <row r="1894" spans="1:10" ht="12" customHeight="1">
      <c r="A1894" s="13" t="s">
        <v>1752</v>
      </c>
      <c r="B1894" s="13" t="s">
        <v>1753</v>
      </c>
      <c r="C1894" s="13" t="s">
        <v>143</v>
      </c>
      <c r="D1894" s="13" t="s">
        <v>697</v>
      </c>
      <c r="E1894" s="13" t="s">
        <v>93</v>
      </c>
      <c r="F1894" s="17" t="s">
        <v>1754</v>
      </c>
      <c r="G1894" s="20" t="str">
        <f>HYPERLINK("https://semena-nn.ru/catalog/46/91269","Фото")</f>
        <v>Фото</v>
      </c>
      <c r="H1894" s="18">
        <v>21.6</v>
      </c>
      <c r="I1894" s="27"/>
      <c r="J1894" s="13">
        <f>H1894*I1894</f>
        <v>0</v>
      </c>
    </row>
    <row r="1895" spans="1:10" ht="12" customHeight="1">
      <c r="A1895" s="13" t="s">
        <v>8611</v>
      </c>
      <c r="B1895" s="13" t="s">
        <v>8612</v>
      </c>
      <c r="C1895" s="13" t="s">
        <v>143</v>
      </c>
      <c r="D1895" s="13" t="s">
        <v>8498</v>
      </c>
      <c r="E1895" s="13" t="s">
        <v>93</v>
      </c>
      <c r="F1895" s="13" t="s">
        <v>8613</v>
      </c>
      <c r="G1895" s="20" t="str">
        <f>HYPERLINK("https://semena-nn.ru/catalog/46/999000008452","Фото")</f>
        <v>Фото</v>
      </c>
      <c r="H1895" s="19">
        <v>20.05</v>
      </c>
      <c r="I1895" s="27"/>
      <c r="J1895" s="13">
        <f>H1895*I1895</f>
        <v>0</v>
      </c>
    </row>
    <row r="1896" spans="1:10" ht="12" customHeight="1">
      <c r="A1896" s="13" t="s">
        <v>5506</v>
      </c>
      <c r="B1896" s="13" t="s">
        <v>5507</v>
      </c>
      <c r="C1896" s="13" t="s">
        <v>143</v>
      </c>
      <c r="D1896" s="13" t="s">
        <v>5136</v>
      </c>
      <c r="E1896" s="13" t="s">
        <v>93</v>
      </c>
      <c r="F1896" s="13" t="s">
        <v>5508</v>
      </c>
      <c r="G1896" s="20" t="str">
        <f>HYPERLINK("https://semena-nn.ru/catalog/46/1313892","Фото")</f>
        <v>Фото</v>
      </c>
      <c r="H1896" s="18">
        <v>49.9</v>
      </c>
      <c r="I1896" s="27"/>
      <c r="J1896" s="13">
        <f>H1896*I1896</f>
        <v>0</v>
      </c>
    </row>
    <row r="1897" spans="1:10" ht="12" customHeight="1">
      <c r="A1897" s="13" t="s">
        <v>7542</v>
      </c>
      <c r="B1897" s="13" t="s">
        <v>7543</v>
      </c>
      <c r="C1897" s="13" t="s">
        <v>143</v>
      </c>
      <c r="D1897" s="13" t="s">
        <v>7148</v>
      </c>
      <c r="E1897" s="13" t="s">
        <v>93</v>
      </c>
      <c r="F1897" s="13" t="s">
        <v>7544</v>
      </c>
      <c r="G1897" s="20" t="str">
        <f>HYPERLINK("http://semena-nn.ru/catalog/46/1313066","Фото")</f>
        <v>Фото</v>
      </c>
      <c r="H1897" s="18">
        <v>65.5</v>
      </c>
      <c r="I1897" s="27"/>
      <c r="J1897" s="13">
        <f>H1897*I1897</f>
        <v>0</v>
      </c>
    </row>
    <row r="1898" spans="1:10" ht="12" customHeight="1">
      <c r="A1898" s="13" t="s">
        <v>5953</v>
      </c>
      <c r="B1898" s="13" t="s">
        <v>5954</v>
      </c>
      <c r="C1898" s="13" t="s">
        <v>143</v>
      </c>
      <c r="D1898" s="13" t="s">
        <v>5834</v>
      </c>
      <c r="E1898" s="13" t="s">
        <v>93</v>
      </c>
      <c r="F1898" s="13" t="s">
        <v>5955</v>
      </c>
      <c r="G1898" s="20" t="str">
        <f>HYPERLINK("https://semena-nn.ru/catalog/46/888000001571","Фото")</f>
        <v>Фото</v>
      </c>
      <c r="H1898" s="19">
        <v>13.76</v>
      </c>
      <c r="I1898" s="27"/>
      <c r="J1898" s="13">
        <f>H1898*I1898</f>
        <v>0</v>
      </c>
    </row>
    <row r="1899" spans="1:10" ht="12" customHeight="1">
      <c r="A1899" s="13" t="s">
        <v>5956</v>
      </c>
      <c r="B1899" s="13" t="s">
        <v>5957</v>
      </c>
      <c r="C1899" s="13" t="s">
        <v>143</v>
      </c>
      <c r="D1899" s="13" t="s">
        <v>5834</v>
      </c>
      <c r="E1899" s="13" t="s">
        <v>93</v>
      </c>
      <c r="F1899" s="13" t="s">
        <v>5958</v>
      </c>
      <c r="G1899" s="20" t="str">
        <f>HYPERLINK("https://semena-nn.ru/catalog/46/888000001572","Фото")</f>
        <v>Фото</v>
      </c>
      <c r="H1899" s="19">
        <v>16.489999999999998</v>
      </c>
      <c r="I1899" s="27"/>
      <c r="J1899" s="13">
        <f>H1899*I1899</f>
        <v>0</v>
      </c>
    </row>
    <row r="1900" spans="1:10" ht="12" customHeight="1">
      <c r="A1900" s="13" t="s">
        <v>5959</v>
      </c>
      <c r="B1900" s="13" t="s">
        <v>5960</v>
      </c>
      <c r="C1900" s="13" t="s">
        <v>143</v>
      </c>
      <c r="D1900" s="13" t="s">
        <v>5834</v>
      </c>
      <c r="E1900" s="13" t="s">
        <v>93</v>
      </c>
      <c r="F1900" s="13" t="s">
        <v>5961</v>
      </c>
      <c r="G1900" s="20" t="str">
        <f>HYPERLINK("https://semena-nn.ru/catalog/46/888000001573","Фото")</f>
        <v>Фото</v>
      </c>
      <c r="H1900" s="19">
        <v>15.44</v>
      </c>
      <c r="I1900" s="27"/>
      <c r="J1900" s="13">
        <f>H1900*I1900</f>
        <v>0</v>
      </c>
    </row>
    <row r="1901" spans="1:10" ht="12" customHeight="1">
      <c r="A1901" s="13" t="s">
        <v>5509</v>
      </c>
      <c r="B1901" s="13" t="s">
        <v>5510</v>
      </c>
      <c r="C1901" s="13" t="s">
        <v>143</v>
      </c>
      <c r="D1901" s="13" t="s">
        <v>5136</v>
      </c>
      <c r="E1901" s="13" t="s">
        <v>93</v>
      </c>
      <c r="F1901" s="13" t="s">
        <v>5511</v>
      </c>
      <c r="G1901" s="20" t="str">
        <f>HYPERLINK("https://semena-nn.ru/catalog/46/999000019917","Фото")</f>
        <v>Фото</v>
      </c>
      <c r="H1901" s="15">
        <v>72</v>
      </c>
      <c r="I1901" s="27"/>
      <c r="J1901" s="13">
        <f>H1901*I1901</f>
        <v>0</v>
      </c>
    </row>
    <row r="1902" spans="1:10" ht="12" customHeight="1">
      <c r="A1902" s="13" t="s">
        <v>8614</v>
      </c>
      <c r="B1902" s="13" t="s">
        <v>8615</v>
      </c>
      <c r="C1902" s="13" t="s">
        <v>143</v>
      </c>
      <c r="D1902" s="13" t="s">
        <v>8498</v>
      </c>
      <c r="E1902" s="13" t="s">
        <v>93</v>
      </c>
      <c r="F1902" s="13" t="s">
        <v>8616</v>
      </c>
      <c r="G1902" s="20" t="str">
        <f>HYPERLINK("https://semena-nn.ru/catalog/46/888000000109","Фото")</f>
        <v>Фото</v>
      </c>
      <c r="H1902" s="18">
        <v>32.5</v>
      </c>
      <c r="I1902" s="27"/>
      <c r="J1902" s="13">
        <f>H1902*I1902</f>
        <v>0</v>
      </c>
    </row>
    <row r="1903" spans="1:10" ht="12" customHeight="1">
      <c r="A1903" s="13" t="s">
        <v>1755</v>
      </c>
      <c r="B1903" s="13" t="s">
        <v>1756</v>
      </c>
      <c r="C1903" s="13" t="s">
        <v>143</v>
      </c>
      <c r="D1903" s="13" t="s">
        <v>697</v>
      </c>
      <c r="E1903" s="13" t="s">
        <v>93</v>
      </c>
      <c r="F1903" s="13" t="s">
        <v>1757</v>
      </c>
      <c r="G1903" s="20" t="str">
        <f>HYPERLINK("https://semena-nn.ru/catalog/46/1307379","Фото")</f>
        <v>Фото</v>
      </c>
      <c r="H1903" s="18">
        <v>36.200000000000003</v>
      </c>
      <c r="I1903" s="27"/>
      <c r="J1903" s="13">
        <f>H1903*I1903</f>
        <v>0</v>
      </c>
    </row>
    <row r="1904" spans="1:10" ht="12" customHeight="1">
      <c r="A1904" s="13" t="s">
        <v>163</v>
      </c>
      <c r="B1904" s="13" t="s">
        <v>164</v>
      </c>
      <c r="C1904" s="13" t="s">
        <v>143</v>
      </c>
      <c r="D1904" s="13" t="s">
        <v>92</v>
      </c>
      <c r="E1904" s="13" t="s">
        <v>93</v>
      </c>
      <c r="F1904" s="13" t="s">
        <v>165</v>
      </c>
      <c r="G1904" s="20" t="str">
        <f>HYPERLINK("https://semena-nn.ru/catalog/46/1313480","Фото")</f>
        <v>Фото</v>
      </c>
      <c r="H1904" s="19">
        <v>68.25</v>
      </c>
      <c r="I1904" s="27"/>
      <c r="J1904" s="13">
        <f>H1904*I1904</f>
        <v>0</v>
      </c>
    </row>
    <row r="1905" spans="1:10" ht="12" customHeight="1">
      <c r="A1905" s="13" t="s">
        <v>166</v>
      </c>
      <c r="B1905" s="13" t="s">
        <v>167</v>
      </c>
      <c r="C1905" s="13" t="s">
        <v>143</v>
      </c>
      <c r="D1905" s="13" t="s">
        <v>92</v>
      </c>
      <c r="E1905" s="13" t="s">
        <v>93</v>
      </c>
      <c r="F1905" s="13" t="s">
        <v>168</v>
      </c>
      <c r="G1905" s="20" t="str">
        <f>HYPERLINK("https://semena-nn.ru/catalog/46/888000000199","Фото")</f>
        <v>Фото</v>
      </c>
      <c r="H1905" s="19">
        <v>75.08</v>
      </c>
      <c r="I1905" s="27"/>
      <c r="J1905" s="13">
        <f>H1905*I1905</f>
        <v>0</v>
      </c>
    </row>
    <row r="1906" spans="1:10" ht="12" customHeight="1">
      <c r="A1906" s="13" t="s">
        <v>517</v>
      </c>
      <c r="B1906" s="13" t="s">
        <v>518</v>
      </c>
      <c r="C1906" s="13" t="s">
        <v>143</v>
      </c>
      <c r="D1906" s="13" t="s">
        <v>28</v>
      </c>
      <c r="E1906" s="13" t="s">
        <v>93</v>
      </c>
      <c r="F1906" s="13" t="s">
        <v>519</v>
      </c>
      <c r="G1906" s="20" t="str">
        <f>HYPERLINK("https://semena-nn.ru/catalog/46/999000009991","Фото")</f>
        <v>Фото</v>
      </c>
      <c r="H1906" s="19">
        <v>36.229999999999997</v>
      </c>
      <c r="I1906" s="27"/>
      <c r="J1906" s="13">
        <f>H1906*I1906</f>
        <v>0</v>
      </c>
    </row>
    <row r="1907" spans="1:10" ht="12" customHeight="1">
      <c r="A1907" s="13" t="s">
        <v>8201</v>
      </c>
      <c r="B1907" s="13" t="s">
        <v>8202</v>
      </c>
      <c r="C1907" s="13" t="s">
        <v>143</v>
      </c>
      <c r="D1907" s="13" t="s">
        <v>7728</v>
      </c>
      <c r="E1907" s="13" t="s">
        <v>93</v>
      </c>
      <c r="F1907" s="13" t="s">
        <v>8203</v>
      </c>
      <c r="G1907" s="20" t="str">
        <f>HYPERLINK("http://semena-nn.ru/catalog/46/1307455","Фото")</f>
        <v>Фото</v>
      </c>
      <c r="H1907" s="18">
        <v>42.3</v>
      </c>
      <c r="I1907" s="27"/>
      <c r="J1907" s="13">
        <f>H1907*I1907</f>
        <v>0</v>
      </c>
    </row>
    <row r="1908" spans="1:10" ht="12" customHeight="1">
      <c r="A1908" s="13" t="s">
        <v>169</v>
      </c>
      <c r="B1908" s="13" t="s">
        <v>170</v>
      </c>
      <c r="C1908" s="13" t="s">
        <v>143</v>
      </c>
      <c r="D1908" s="13" t="s">
        <v>92</v>
      </c>
      <c r="E1908" s="13" t="s">
        <v>93</v>
      </c>
      <c r="F1908" s="13" t="s">
        <v>171</v>
      </c>
      <c r="G1908" s="20" t="str">
        <f>HYPERLINK("https://semena-nn.ru/catalog/46/888000000194","Фото")</f>
        <v>Фото</v>
      </c>
      <c r="H1908" s="19">
        <v>45.05</v>
      </c>
      <c r="I1908" s="27"/>
      <c r="J1908" s="13">
        <f>H1908*I1908</f>
        <v>0</v>
      </c>
    </row>
    <row r="1909" spans="1:10" ht="12" customHeight="1">
      <c r="A1909" s="13" t="s">
        <v>8204</v>
      </c>
      <c r="B1909" s="13" t="s">
        <v>8205</v>
      </c>
      <c r="C1909" s="13" t="s">
        <v>143</v>
      </c>
      <c r="D1909" s="13" t="s">
        <v>7728</v>
      </c>
      <c r="E1909" s="13" t="s">
        <v>93</v>
      </c>
      <c r="F1909" s="13" t="s">
        <v>8206</v>
      </c>
      <c r="G1909" s="20" t="str">
        <f>HYPERLINK("http://semena-nn.ru/catalog/46/1314452","Фото")</f>
        <v>Фото</v>
      </c>
      <c r="H1909" s="18">
        <v>27.9</v>
      </c>
      <c r="I1909" s="27"/>
      <c r="J1909" s="13">
        <f>H1909*I1909</f>
        <v>0</v>
      </c>
    </row>
    <row r="1910" spans="1:10" ht="12" customHeight="1">
      <c r="A1910" s="13" t="s">
        <v>8207</v>
      </c>
      <c r="B1910" s="13" t="s">
        <v>8208</v>
      </c>
      <c r="C1910" s="13" t="s">
        <v>143</v>
      </c>
      <c r="D1910" s="13" t="s">
        <v>7728</v>
      </c>
      <c r="E1910" s="13" t="s">
        <v>93</v>
      </c>
      <c r="F1910" s="13" t="s">
        <v>8209</v>
      </c>
      <c r="G1910" s="20" t="str">
        <f>HYPERLINK("http://semena-nn.ru/catalog/46/1313549","Фото")</f>
        <v>Фото</v>
      </c>
      <c r="H1910" s="15">
        <v>32</v>
      </c>
      <c r="I1910" s="27"/>
      <c r="J1910" s="13">
        <f>H1910*I1910</f>
        <v>0</v>
      </c>
    </row>
    <row r="1911" spans="1:10" ht="12" customHeight="1">
      <c r="A1911" s="13" t="s">
        <v>8210</v>
      </c>
      <c r="B1911" s="13" t="s">
        <v>8211</v>
      </c>
      <c r="C1911" s="13" t="s">
        <v>143</v>
      </c>
      <c r="D1911" s="13" t="s">
        <v>7728</v>
      </c>
      <c r="E1911" s="13" t="s">
        <v>93</v>
      </c>
      <c r="F1911" s="13" t="s">
        <v>8212</v>
      </c>
      <c r="G1911" s="20" t="str">
        <f>HYPERLINK("https://semena-nn.ru/catalog/46/999000019798","Фото")</f>
        <v>Фото</v>
      </c>
      <c r="H1911" s="19">
        <v>29.65</v>
      </c>
      <c r="I1911" s="27"/>
      <c r="J1911" s="13">
        <f>H1911*I1911</f>
        <v>0</v>
      </c>
    </row>
    <row r="1912" spans="1:10" ht="12" customHeight="1">
      <c r="A1912" s="13" t="s">
        <v>1758</v>
      </c>
      <c r="B1912" s="13" t="s">
        <v>1759</v>
      </c>
      <c r="C1912" s="13" t="s">
        <v>143</v>
      </c>
      <c r="D1912" s="13" t="s">
        <v>697</v>
      </c>
      <c r="E1912" s="13" t="s">
        <v>93</v>
      </c>
      <c r="F1912" s="13" t="s">
        <v>1760</v>
      </c>
      <c r="G1912" s="20" t="str">
        <f>HYPERLINK("http://semena-nn.ru/catalog/46/999000003858","Фото")</f>
        <v>Фото</v>
      </c>
      <c r="H1912" s="19">
        <v>35.549999999999997</v>
      </c>
      <c r="I1912" s="27"/>
      <c r="J1912" s="13">
        <f>H1912*I1912</f>
        <v>0</v>
      </c>
    </row>
    <row r="1913" spans="1:10" ht="12" customHeight="1">
      <c r="A1913" s="13" t="s">
        <v>8617</v>
      </c>
      <c r="B1913" s="13" t="s">
        <v>8618</v>
      </c>
      <c r="C1913" s="13" t="s">
        <v>143</v>
      </c>
      <c r="D1913" s="13" t="s">
        <v>8498</v>
      </c>
      <c r="E1913" s="13" t="s">
        <v>93</v>
      </c>
      <c r="F1913" s="13" t="s">
        <v>8619</v>
      </c>
      <c r="G1913" s="20" t="str">
        <f>HYPERLINK("https://semena-nn.ru/catalog/46/1311923","Фото")</f>
        <v>Фото</v>
      </c>
      <c r="H1913" s="18">
        <v>15.5</v>
      </c>
      <c r="I1913" s="27"/>
      <c r="J1913" s="13">
        <f>H1913*I1913</f>
        <v>0</v>
      </c>
    </row>
    <row r="1914" spans="1:10" ht="12" customHeight="1">
      <c r="A1914" s="13" t="s">
        <v>520</v>
      </c>
      <c r="B1914" s="13" t="s">
        <v>521</v>
      </c>
      <c r="C1914" s="13" t="s">
        <v>143</v>
      </c>
      <c r="D1914" s="13" t="s">
        <v>28</v>
      </c>
      <c r="E1914" s="13" t="s">
        <v>93</v>
      </c>
      <c r="F1914" s="13" t="s">
        <v>522</v>
      </c>
      <c r="G1914" s="20" t="str">
        <f>HYPERLINK("https://semena-nn.ru/catalog/46/999000009993","Фото")</f>
        <v>Фото</v>
      </c>
      <c r="H1914" s="19">
        <v>30.08</v>
      </c>
      <c r="I1914" s="27"/>
      <c r="J1914" s="13">
        <f>H1914*I1914</f>
        <v>0</v>
      </c>
    </row>
    <row r="1915" spans="1:10" ht="12" customHeight="1">
      <c r="A1915" s="13" t="s">
        <v>1761</v>
      </c>
      <c r="B1915" s="13" t="s">
        <v>1762</v>
      </c>
      <c r="C1915" s="13" t="s">
        <v>143</v>
      </c>
      <c r="D1915" s="13" t="s">
        <v>697</v>
      </c>
      <c r="E1915" s="13" t="s">
        <v>93</v>
      </c>
      <c r="F1915" s="13" t="s">
        <v>1763</v>
      </c>
      <c r="G1915" s="20" t="str">
        <f>HYPERLINK("http://semena-nn.ru/catalog/46/80615","Фото")</f>
        <v>Фото</v>
      </c>
      <c r="H1915" s="18">
        <v>19.899999999999999</v>
      </c>
      <c r="I1915" s="27"/>
      <c r="J1915" s="13">
        <f>H1915*I1915</f>
        <v>0</v>
      </c>
    </row>
    <row r="1916" spans="1:10" ht="12" customHeight="1">
      <c r="A1916" s="13" t="s">
        <v>3425</v>
      </c>
      <c r="B1916" s="13" t="s">
        <v>3426</v>
      </c>
      <c r="C1916" s="13" t="s">
        <v>143</v>
      </c>
      <c r="D1916" s="13" t="s">
        <v>697</v>
      </c>
      <c r="E1916" s="13" t="s">
        <v>3064</v>
      </c>
      <c r="F1916" s="13" t="s">
        <v>3427</v>
      </c>
      <c r="G1916" s="20" t="str">
        <f>HYPERLINK("http://semena-nn.ru/catalog/46/1287490","Фото")</f>
        <v>Фото</v>
      </c>
      <c r="H1916" s="19">
        <v>12.05</v>
      </c>
      <c r="I1916" s="27"/>
      <c r="J1916" s="13">
        <f>H1916*I1916</f>
        <v>0</v>
      </c>
    </row>
    <row r="1917" spans="1:10" ht="12" customHeight="1">
      <c r="A1917" s="13" t="s">
        <v>5512</v>
      </c>
      <c r="B1917" s="13" t="s">
        <v>5513</v>
      </c>
      <c r="C1917" s="13" t="s">
        <v>143</v>
      </c>
      <c r="D1917" s="13" t="s">
        <v>5136</v>
      </c>
      <c r="E1917" s="13" t="s">
        <v>93</v>
      </c>
      <c r="F1917" s="13" t="s">
        <v>5514</v>
      </c>
      <c r="G1917" s="20" t="str">
        <f>HYPERLINK("https://semena-nn.ru/catalog/46/888000001400","Фото")</f>
        <v>Фото</v>
      </c>
      <c r="H1917" s="15">
        <v>40</v>
      </c>
      <c r="I1917" s="27"/>
      <c r="J1917" s="13">
        <f>H1917*I1917</f>
        <v>0</v>
      </c>
    </row>
    <row r="1918" spans="1:10" ht="12" customHeight="1">
      <c r="A1918" s="13" t="s">
        <v>3428</v>
      </c>
      <c r="B1918" s="13" t="s">
        <v>3429</v>
      </c>
      <c r="C1918" s="13" t="s">
        <v>143</v>
      </c>
      <c r="D1918" s="13" t="s">
        <v>697</v>
      </c>
      <c r="E1918" s="13" t="s">
        <v>3064</v>
      </c>
      <c r="F1918" s="13" t="s">
        <v>3430</v>
      </c>
      <c r="G1918" s="20" t="str">
        <f>HYPERLINK("https://semena-nn.ru/catalog/46/1288984","Фото")</f>
        <v>Фото</v>
      </c>
      <c r="H1918" s="19">
        <v>12.65</v>
      </c>
      <c r="I1918" s="27"/>
      <c r="J1918" s="13">
        <f>H1918*I1918</f>
        <v>0</v>
      </c>
    </row>
    <row r="1919" spans="1:10" ht="12" customHeight="1">
      <c r="A1919" s="13" t="s">
        <v>8620</v>
      </c>
      <c r="B1919" s="13" t="s">
        <v>8621</v>
      </c>
      <c r="C1919" s="13" t="s">
        <v>143</v>
      </c>
      <c r="D1919" s="13" t="s">
        <v>8498</v>
      </c>
      <c r="E1919" s="13" t="s">
        <v>93</v>
      </c>
      <c r="F1919" s="13" t="s">
        <v>8622</v>
      </c>
      <c r="G1919" s="20" t="str">
        <f>HYPERLINK("https://semena-nn.ru/catalog/46/999000004872","Фото")</f>
        <v>Фото</v>
      </c>
      <c r="H1919" s="18">
        <v>25.3</v>
      </c>
      <c r="I1919" s="27"/>
      <c r="J1919" s="13">
        <f>H1919*I1919</f>
        <v>0</v>
      </c>
    </row>
    <row r="1920" spans="1:10" ht="12" customHeight="1">
      <c r="A1920" s="13" t="s">
        <v>1764</v>
      </c>
      <c r="B1920" s="13" t="s">
        <v>1765</v>
      </c>
      <c r="C1920" s="13" t="s">
        <v>143</v>
      </c>
      <c r="D1920" s="13" t="s">
        <v>697</v>
      </c>
      <c r="E1920" s="13" t="s">
        <v>93</v>
      </c>
      <c r="F1920" s="13" t="s">
        <v>1766</v>
      </c>
      <c r="G1920" s="20" t="str">
        <f>HYPERLINK("https://semena-nn.ru/catalog/46/1117098","Фото")</f>
        <v>Фото</v>
      </c>
      <c r="H1920" s="15">
        <v>24</v>
      </c>
      <c r="I1920" s="27"/>
      <c r="J1920" s="13">
        <f>H1920*I1920</f>
        <v>0</v>
      </c>
    </row>
    <row r="1921" spans="1:10" ht="12" customHeight="1">
      <c r="A1921" s="13" t="s">
        <v>7545</v>
      </c>
      <c r="B1921" s="13" t="s">
        <v>7546</v>
      </c>
      <c r="C1921" s="13" t="s">
        <v>143</v>
      </c>
      <c r="D1921" s="13" t="s">
        <v>7148</v>
      </c>
      <c r="E1921" s="13" t="s">
        <v>93</v>
      </c>
      <c r="F1921" s="13" t="s">
        <v>7547</v>
      </c>
      <c r="G1921" s="20" t="str">
        <f>HYPERLINK("https://semena-nn.ru/catalog/46/888000007471","Фото")</f>
        <v>Фото</v>
      </c>
      <c r="H1921" s="18">
        <v>89.5</v>
      </c>
      <c r="I1921" s="27"/>
      <c r="J1921" s="13">
        <f>H1921*I1921</f>
        <v>0</v>
      </c>
    </row>
    <row r="1922" spans="1:10" ht="12" customHeight="1">
      <c r="A1922" s="13" t="s">
        <v>1767</v>
      </c>
      <c r="B1922" s="13" t="s">
        <v>1768</v>
      </c>
      <c r="C1922" s="13" t="s">
        <v>143</v>
      </c>
      <c r="D1922" s="13" t="s">
        <v>697</v>
      </c>
      <c r="E1922" s="13" t="s">
        <v>93</v>
      </c>
      <c r="F1922" s="13" t="s">
        <v>1769</v>
      </c>
      <c r="G1922" s="20" t="str">
        <f>HYPERLINK("https://semena-nn.ru/catalog/46/888000000423","Фото")</f>
        <v>Фото</v>
      </c>
      <c r="H1922" s="18">
        <v>19.899999999999999</v>
      </c>
      <c r="I1922" s="27"/>
      <c r="J1922" s="13">
        <f>H1922*I1922</f>
        <v>0</v>
      </c>
    </row>
    <row r="1923" spans="1:10" ht="12" customHeight="1">
      <c r="A1923" s="13" t="s">
        <v>1770</v>
      </c>
      <c r="B1923" s="13" t="s">
        <v>1771</v>
      </c>
      <c r="C1923" s="13" t="s">
        <v>143</v>
      </c>
      <c r="D1923" s="13" t="s">
        <v>697</v>
      </c>
      <c r="E1923" s="13" t="s">
        <v>93</v>
      </c>
      <c r="F1923" s="17" t="s">
        <v>1772</v>
      </c>
      <c r="G1923" s="20" t="str">
        <f>HYPERLINK("https://semena-nn.ru/catalog/46/888000000599","Фото")</f>
        <v>Фото</v>
      </c>
      <c r="H1923" s="18">
        <v>46.5</v>
      </c>
      <c r="I1923" s="27"/>
      <c r="J1923" s="13">
        <f>H1923*I1923</f>
        <v>0</v>
      </c>
    </row>
    <row r="1924" spans="1:10" ht="12" customHeight="1">
      <c r="A1924" s="13" t="s">
        <v>8213</v>
      </c>
      <c r="B1924" s="13" t="s">
        <v>8214</v>
      </c>
      <c r="C1924" s="13" t="s">
        <v>143</v>
      </c>
      <c r="D1924" s="13" t="s">
        <v>7728</v>
      </c>
      <c r="E1924" s="13" t="s">
        <v>93</v>
      </c>
      <c r="F1924" s="13" t="s">
        <v>8215</v>
      </c>
      <c r="G1924" s="20" t="str">
        <f>HYPERLINK("https://semena-nn.ru/catalog/46/999000002385","Фото")</f>
        <v>Фото</v>
      </c>
      <c r="H1924" s="18">
        <v>22.2</v>
      </c>
      <c r="I1924" s="27"/>
      <c r="J1924" s="13">
        <f>H1924*I1924</f>
        <v>0</v>
      </c>
    </row>
    <row r="1925" spans="1:10" ht="12" customHeight="1">
      <c r="A1925" s="13" t="s">
        <v>523</v>
      </c>
      <c r="B1925" s="13" t="s">
        <v>524</v>
      </c>
      <c r="C1925" s="13" t="s">
        <v>143</v>
      </c>
      <c r="D1925" s="13" t="s">
        <v>28</v>
      </c>
      <c r="E1925" s="13" t="s">
        <v>93</v>
      </c>
      <c r="F1925" s="13" t="s">
        <v>525</v>
      </c>
      <c r="G1925" s="20" t="str">
        <f>HYPERLINK("https://semena-nn.ru/catalog/46/999000009734","Фото")</f>
        <v>Фото</v>
      </c>
      <c r="H1925" s="19">
        <v>30.14</v>
      </c>
      <c r="I1925" s="27"/>
      <c r="J1925" s="13">
        <f>H1925*I1925</f>
        <v>0</v>
      </c>
    </row>
    <row r="1926" spans="1:10" ht="12" customHeight="1">
      <c r="A1926" s="13" t="s">
        <v>5515</v>
      </c>
      <c r="B1926" s="13" t="s">
        <v>5516</v>
      </c>
      <c r="C1926" s="13" t="s">
        <v>143</v>
      </c>
      <c r="D1926" s="13" t="s">
        <v>5136</v>
      </c>
      <c r="E1926" s="13" t="s">
        <v>93</v>
      </c>
      <c r="F1926" s="13" t="s">
        <v>5517</v>
      </c>
      <c r="G1926" s="20" t="str">
        <f>HYPERLINK("https://semena-nn.ru/catalog/46/1313893","Фото")</f>
        <v>Фото</v>
      </c>
      <c r="H1926" s="15">
        <v>88</v>
      </c>
      <c r="I1926" s="27"/>
      <c r="J1926" s="13">
        <f>H1926*I1926</f>
        <v>0</v>
      </c>
    </row>
    <row r="1927" spans="1:10" ht="12" customHeight="1">
      <c r="A1927" s="13" t="s">
        <v>7548</v>
      </c>
      <c r="B1927" s="13" t="s">
        <v>7549</v>
      </c>
      <c r="C1927" s="13" t="s">
        <v>143</v>
      </c>
      <c r="D1927" s="13" t="s">
        <v>7148</v>
      </c>
      <c r="E1927" s="13" t="s">
        <v>93</v>
      </c>
      <c r="F1927" s="13" t="s">
        <v>7550</v>
      </c>
      <c r="G1927" s="20" t="str">
        <f>HYPERLINK("http://semena-nn.ru/catalog/46/1313051","Фото")</f>
        <v>Фото</v>
      </c>
      <c r="H1927" s="15">
        <v>77</v>
      </c>
      <c r="I1927" s="27"/>
      <c r="J1927" s="13">
        <f>H1927*I1927</f>
        <v>0</v>
      </c>
    </row>
    <row r="1928" spans="1:10" ht="12" customHeight="1">
      <c r="A1928" s="13" t="s">
        <v>7110</v>
      </c>
      <c r="B1928" s="13" t="s">
        <v>7111</v>
      </c>
      <c r="C1928" s="13" t="s">
        <v>143</v>
      </c>
      <c r="D1928" s="13" t="s">
        <v>6927</v>
      </c>
      <c r="E1928" s="13" t="s">
        <v>93</v>
      </c>
      <c r="F1928" s="13" t="s">
        <v>7112</v>
      </c>
      <c r="G1928" s="20" t="str">
        <f>HYPERLINK("https://semena-nn.ru/catalog/46/999000010174","Фото")</f>
        <v>Фото</v>
      </c>
      <c r="H1928" s="18">
        <v>41.8</v>
      </c>
      <c r="I1928" s="27"/>
      <c r="J1928" s="13">
        <f>H1928*I1928</f>
        <v>0</v>
      </c>
    </row>
    <row r="1929" spans="1:10" ht="12" customHeight="1">
      <c r="A1929" s="13" t="s">
        <v>8216</v>
      </c>
      <c r="B1929" s="13" t="s">
        <v>8217</v>
      </c>
      <c r="C1929" s="13" t="s">
        <v>143</v>
      </c>
      <c r="D1929" s="13" t="s">
        <v>7728</v>
      </c>
      <c r="E1929" s="13" t="s">
        <v>93</v>
      </c>
      <c r="F1929" s="13" t="s">
        <v>8218</v>
      </c>
      <c r="G1929" s="20" t="str">
        <f>HYPERLINK("https://semena-nn.ru/catalog/46/1312870","Фото")</f>
        <v>Фото</v>
      </c>
      <c r="H1929" s="18">
        <v>22.3</v>
      </c>
      <c r="I1929" s="27"/>
      <c r="J1929" s="13">
        <f>H1929*I1929</f>
        <v>0</v>
      </c>
    </row>
    <row r="1930" spans="1:10" ht="12" customHeight="1">
      <c r="A1930" s="13" t="s">
        <v>7551</v>
      </c>
      <c r="B1930" s="13" t="s">
        <v>7552</v>
      </c>
      <c r="C1930" s="13" t="s">
        <v>143</v>
      </c>
      <c r="D1930" s="13" t="s">
        <v>7148</v>
      </c>
      <c r="E1930" s="13" t="s">
        <v>93</v>
      </c>
      <c r="F1930" s="13" t="s">
        <v>7553</v>
      </c>
      <c r="G1930" s="20" t="str">
        <f>HYPERLINK("https://semena-nn.ru/catalog/46/888000000359","Фото")</f>
        <v>Фото</v>
      </c>
      <c r="H1930" s="15">
        <v>126</v>
      </c>
      <c r="I1930" s="27"/>
      <c r="J1930" s="13">
        <f>H1930*I1930</f>
        <v>0</v>
      </c>
    </row>
    <row r="1931" spans="1:10" ht="12" customHeight="1">
      <c r="A1931" s="13" t="s">
        <v>7554</v>
      </c>
      <c r="B1931" s="13" t="s">
        <v>7555</v>
      </c>
      <c r="C1931" s="13" t="s">
        <v>143</v>
      </c>
      <c r="D1931" s="13" t="s">
        <v>7148</v>
      </c>
      <c r="E1931" s="13" t="s">
        <v>93</v>
      </c>
      <c r="F1931" s="13" t="s">
        <v>7556</v>
      </c>
      <c r="G1931" s="20" t="str">
        <f>HYPERLINK("https://semena-nn.ru/catalog/46/999000013111","Фото")</f>
        <v>Фото</v>
      </c>
      <c r="H1931" s="18">
        <v>85.7</v>
      </c>
      <c r="I1931" s="27"/>
      <c r="J1931" s="13">
        <f>H1931*I1931</f>
        <v>0</v>
      </c>
    </row>
    <row r="1932" spans="1:10" ht="12" customHeight="1">
      <c r="A1932" s="13" t="s">
        <v>1773</v>
      </c>
      <c r="B1932" s="13" t="s">
        <v>1774</v>
      </c>
      <c r="C1932" s="13" t="s">
        <v>143</v>
      </c>
      <c r="D1932" s="13" t="s">
        <v>697</v>
      </c>
      <c r="E1932" s="13" t="s">
        <v>93</v>
      </c>
      <c r="F1932" s="13" t="s">
        <v>1775</v>
      </c>
      <c r="G1932" s="20" t="str">
        <f>HYPERLINK("http://semena-nn.ru/catalog/46/4106","Фото")</f>
        <v>Фото</v>
      </c>
      <c r="H1932" s="15">
        <v>41</v>
      </c>
      <c r="I1932" s="27"/>
      <c r="J1932" s="13">
        <f>H1932*I1932</f>
        <v>0</v>
      </c>
    </row>
    <row r="1933" spans="1:10" ht="12" customHeight="1">
      <c r="A1933" s="13" t="s">
        <v>1776</v>
      </c>
      <c r="B1933" s="13" t="s">
        <v>1777</v>
      </c>
      <c r="C1933" s="13" t="s">
        <v>143</v>
      </c>
      <c r="D1933" s="13" t="s">
        <v>697</v>
      </c>
      <c r="E1933" s="13" t="s">
        <v>93</v>
      </c>
      <c r="F1933" s="13" t="s">
        <v>1778</v>
      </c>
      <c r="G1933" s="20" t="str">
        <f>HYPERLINK("https://semena-nn.ru/catalog/46/888000000424","Фото")</f>
        <v>Фото</v>
      </c>
      <c r="H1933" s="15">
        <v>51</v>
      </c>
      <c r="I1933" s="27"/>
      <c r="J1933" s="13">
        <f>H1933*I1933</f>
        <v>0</v>
      </c>
    </row>
    <row r="1934" spans="1:10" ht="12" customHeight="1">
      <c r="A1934" s="13" t="s">
        <v>7557</v>
      </c>
      <c r="B1934" s="13" t="s">
        <v>7558</v>
      </c>
      <c r="C1934" s="13" t="s">
        <v>143</v>
      </c>
      <c r="D1934" s="13" t="s">
        <v>7148</v>
      </c>
      <c r="E1934" s="13" t="s">
        <v>93</v>
      </c>
      <c r="F1934" s="13" t="s">
        <v>7559</v>
      </c>
      <c r="G1934" s="20" t="str">
        <f>HYPERLINK("http://semena-nn.ru/catalog/46/1314238","Фото")</f>
        <v>Фото</v>
      </c>
      <c r="H1934" s="18">
        <v>65.5</v>
      </c>
      <c r="I1934" s="27"/>
      <c r="J1934" s="13">
        <f>H1934*I1934</f>
        <v>0</v>
      </c>
    </row>
    <row r="1935" spans="1:10" ht="12" customHeight="1">
      <c r="A1935" s="13" t="s">
        <v>8430</v>
      </c>
      <c r="B1935" s="13" t="s">
        <v>8431</v>
      </c>
      <c r="C1935" s="13" t="s">
        <v>143</v>
      </c>
      <c r="D1935" s="13" t="s">
        <v>8317</v>
      </c>
      <c r="E1935" s="13" t="s">
        <v>93</v>
      </c>
      <c r="F1935" s="13" t="s">
        <v>8432</v>
      </c>
      <c r="G1935" s="20" t="str">
        <f>HYPERLINK("http://semena-nn.ru/catalog/46/1310546","Фото")</f>
        <v>Фото</v>
      </c>
      <c r="H1935" s="18">
        <v>121.3</v>
      </c>
      <c r="I1935" s="27"/>
      <c r="J1935" s="13">
        <f>H1935*I1935</f>
        <v>0</v>
      </c>
    </row>
    <row r="1936" spans="1:10" ht="12" customHeight="1">
      <c r="A1936" s="13" t="s">
        <v>6584</v>
      </c>
      <c r="B1936" s="13" t="s">
        <v>6585</v>
      </c>
      <c r="C1936" s="13" t="s">
        <v>143</v>
      </c>
      <c r="D1936" s="13" t="s">
        <v>87</v>
      </c>
      <c r="E1936" s="13" t="s">
        <v>93</v>
      </c>
      <c r="F1936" s="13" t="s">
        <v>6586</v>
      </c>
      <c r="G1936" s="20" t="str">
        <f>HYPERLINK("https://semena-nn.ru/catalog/46/999000006586","Фото")</f>
        <v>Фото</v>
      </c>
      <c r="H1936" s="19">
        <v>26.15</v>
      </c>
      <c r="I1936" s="27"/>
      <c r="J1936" s="13">
        <f>H1936*I1936</f>
        <v>0</v>
      </c>
    </row>
    <row r="1937" spans="1:10" ht="12" customHeight="1">
      <c r="A1937" s="13" t="s">
        <v>8623</v>
      </c>
      <c r="B1937" s="13" t="s">
        <v>8624</v>
      </c>
      <c r="C1937" s="13" t="s">
        <v>143</v>
      </c>
      <c r="D1937" s="13" t="s">
        <v>8498</v>
      </c>
      <c r="E1937" s="13" t="s">
        <v>93</v>
      </c>
      <c r="F1937" s="13" t="s">
        <v>8625</v>
      </c>
      <c r="G1937" s="20" t="str">
        <f>HYPERLINK("http://semena-nn.ru/catalog/46/105645","Фото")</f>
        <v>Фото</v>
      </c>
      <c r="H1937" s="18">
        <v>29.3</v>
      </c>
      <c r="I1937" s="27"/>
      <c r="J1937" s="13">
        <f>H1937*I1937</f>
        <v>0</v>
      </c>
    </row>
    <row r="1938" spans="1:10" ht="12" customHeight="1">
      <c r="A1938" s="13" t="s">
        <v>5101</v>
      </c>
      <c r="B1938" s="13" t="s">
        <v>5102</v>
      </c>
      <c r="C1938" s="13" t="s">
        <v>143</v>
      </c>
      <c r="D1938" s="13" t="s">
        <v>5045</v>
      </c>
      <c r="E1938" s="13" t="s">
        <v>93</v>
      </c>
      <c r="F1938" s="13" t="s">
        <v>5103</v>
      </c>
      <c r="G1938" s="20" t="str">
        <f>HYPERLINK("http://semena-nn.ru/catalog/46/1125978","Фото")</f>
        <v>Фото</v>
      </c>
      <c r="H1938" s="18">
        <v>37.799999999999997</v>
      </c>
      <c r="I1938" s="27"/>
      <c r="J1938" s="13">
        <f>H1938*I1938</f>
        <v>0</v>
      </c>
    </row>
    <row r="1939" spans="1:10" ht="12" customHeight="1">
      <c r="A1939" s="13" t="s">
        <v>8626</v>
      </c>
      <c r="B1939" s="13" t="s">
        <v>8627</v>
      </c>
      <c r="C1939" s="13" t="s">
        <v>143</v>
      </c>
      <c r="D1939" s="13" t="s">
        <v>8498</v>
      </c>
      <c r="E1939" s="13" t="s">
        <v>93</v>
      </c>
      <c r="F1939" s="13" t="s">
        <v>8628</v>
      </c>
      <c r="G1939" s="20" t="str">
        <f>HYPERLINK("http://semena-nn.ru/catalog/46/999000004491","Фото")</f>
        <v>Фото</v>
      </c>
      <c r="H1939" s="15">
        <v>22</v>
      </c>
      <c r="I1939" s="27"/>
      <c r="J1939" s="13">
        <f>H1939*I1939</f>
        <v>0</v>
      </c>
    </row>
    <row r="1940" spans="1:10" ht="12" customHeight="1">
      <c r="A1940" s="13" t="s">
        <v>8629</v>
      </c>
      <c r="B1940" s="13" t="s">
        <v>8630</v>
      </c>
      <c r="C1940" s="13" t="s">
        <v>143</v>
      </c>
      <c r="D1940" s="13" t="s">
        <v>8498</v>
      </c>
      <c r="E1940" s="13" t="s">
        <v>93</v>
      </c>
      <c r="F1940" s="13" t="s">
        <v>8631</v>
      </c>
      <c r="G1940" s="20" t="str">
        <f>HYPERLINK("https://semena-nn.ru/catalog/46/999000004874","Фото")</f>
        <v>Фото</v>
      </c>
      <c r="H1940" s="19">
        <v>26.35</v>
      </c>
      <c r="I1940" s="27"/>
      <c r="J1940" s="13">
        <f>H1940*I1940</f>
        <v>0</v>
      </c>
    </row>
    <row r="1941" spans="1:10" ht="12" customHeight="1">
      <c r="A1941" s="13" t="s">
        <v>8632</v>
      </c>
      <c r="B1941" s="13" t="s">
        <v>8633</v>
      </c>
      <c r="C1941" s="13" t="s">
        <v>143</v>
      </c>
      <c r="D1941" s="13" t="s">
        <v>8498</v>
      </c>
      <c r="E1941" s="13" t="s">
        <v>93</v>
      </c>
      <c r="F1941" s="13" t="s">
        <v>8634</v>
      </c>
      <c r="G1941" s="20" t="str">
        <f>HYPERLINK("http://semena-nn.ru/catalog/46/999000004492","Фото")</f>
        <v>Фото</v>
      </c>
      <c r="H1941" s="15">
        <v>22</v>
      </c>
      <c r="I1941" s="27"/>
      <c r="J1941" s="13">
        <f>H1941*I1941</f>
        <v>0</v>
      </c>
    </row>
    <row r="1942" spans="1:10" ht="12" customHeight="1">
      <c r="A1942" s="13" t="s">
        <v>7560</v>
      </c>
      <c r="B1942" s="13" t="s">
        <v>7561</v>
      </c>
      <c r="C1942" s="13" t="s">
        <v>143</v>
      </c>
      <c r="D1942" s="13"/>
      <c r="E1942" s="13" t="s">
        <v>93</v>
      </c>
      <c r="F1942" s="13"/>
      <c r="G1942" s="13"/>
      <c r="H1942" s="15">
        <v>66</v>
      </c>
      <c r="I1942" s="27"/>
      <c r="J1942" s="13">
        <f>H1942*I1942</f>
        <v>0</v>
      </c>
    </row>
    <row r="1943" spans="1:10" ht="12" customHeight="1">
      <c r="A1943" s="13" t="s">
        <v>8926</v>
      </c>
      <c r="B1943" s="13" t="s">
        <v>8927</v>
      </c>
      <c r="C1943" s="13" t="s">
        <v>143</v>
      </c>
      <c r="D1943" s="13" t="s">
        <v>8717</v>
      </c>
      <c r="E1943" s="13" t="s">
        <v>93</v>
      </c>
      <c r="F1943" s="13" t="s">
        <v>8928</v>
      </c>
      <c r="G1943" s="20" t="str">
        <f>HYPERLINK("https://semena-nn.ru/catalog/46/999000020205","Фото")</f>
        <v>Фото</v>
      </c>
      <c r="H1943" s="18">
        <v>23.6</v>
      </c>
      <c r="I1943" s="27"/>
      <c r="J1943" s="13">
        <f>H1943*I1943</f>
        <v>0</v>
      </c>
    </row>
    <row r="1944" spans="1:10" ht="12" customHeight="1">
      <c r="A1944" s="13" t="s">
        <v>172</v>
      </c>
      <c r="B1944" s="13" t="s">
        <v>173</v>
      </c>
      <c r="C1944" s="13" t="s">
        <v>143</v>
      </c>
      <c r="D1944" s="13" t="s">
        <v>92</v>
      </c>
      <c r="E1944" s="13" t="s">
        <v>93</v>
      </c>
      <c r="F1944" s="13" t="s">
        <v>174</v>
      </c>
      <c r="G1944" s="20" t="str">
        <f>HYPERLINK("https://semena-nn.ru/catalog/46/888000000200","Фото")</f>
        <v>Фото</v>
      </c>
      <c r="H1944" s="19">
        <v>45.05</v>
      </c>
      <c r="I1944" s="27"/>
      <c r="J1944" s="13">
        <f>H1944*I1944</f>
        <v>0</v>
      </c>
    </row>
    <row r="1945" spans="1:10" ht="12" customHeight="1">
      <c r="A1945" s="13" t="s">
        <v>5518</v>
      </c>
      <c r="B1945" s="13" t="s">
        <v>5519</v>
      </c>
      <c r="C1945" s="13" t="s">
        <v>143</v>
      </c>
      <c r="D1945" s="13" t="s">
        <v>5136</v>
      </c>
      <c r="E1945" s="13" t="s">
        <v>93</v>
      </c>
      <c r="F1945" s="13" t="s">
        <v>5520</v>
      </c>
      <c r="G1945" s="20" t="str">
        <f>HYPERLINK("https://semena-nn.ru/catalog/46/888000000145","Фото")</f>
        <v>Фото</v>
      </c>
      <c r="H1945" s="15">
        <v>57</v>
      </c>
      <c r="I1945" s="27"/>
      <c r="J1945" s="13">
        <f>H1945*I1945</f>
        <v>0</v>
      </c>
    </row>
    <row r="1946" spans="1:10" ht="12" customHeight="1">
      <c r="A1946" s="13" t="s">
        <v>5521</v>
      </c>
      <c r="B1946" s="13" t="s">
        <v>5522</v>
      </c>
      <c r="C1946" s="13" t="s">
        <v>143</v>
      </c>
      <c r="D1946" s="13" t="s">
        <v>5136</v>
      </c>
      <c r="E1946" s="13" t="s">
        <v>93</v>
      </c>
      <c r="F1946" s="13" t="s">
        <v>5523</v>
      </c>
      <c r="G1946" s="20" t="str">
        <f>HYPERLINK("https://semena-nn.ru/catalog/46/888000000146","Фото")</f>
        <v>Фото</v>
      </c>
      <c r="H1946" s="15">
        <v>57</v>
      </c>
      <c r="I1946" s="27"/>
      <c r="J1946" s="13">
        <f>H1946*I1946</f>
        <v>0</v>
      </c>
    </row>
    <row r="1947" spans="1:10" ht="12" customHeight="1">
      <c r="A1947" s="13" t="s">
        <v>8929</v>
      </c>
      <c r="B1947" s="13" t="s">
        <v>8930</v>
      </c>
      <c r="C1947" s="13" t="s">
        <v>143</v>
      </c>
      <c r="D1947" s="13" t="s">
        <v>8717</v>
      </c>
      <c r="E1947" s="13" t="s">
        <v>93</v>
      </c>
      <c r="F1947" s="13" t="s">
        <v>8931</v>
      </c>
      <c r="G1947" s="20" t="str">
        <f>HYPERLINK("https://semena-nn.ru/catalog/46/888000000735","Фото")</f>
        <v>Фото</v>
      </c>
      <c r="H1947" s="15">
        <v>19</v>
      </c>
      <c r="I1947" s="27"/>
      <c r="J1947" s="13">
        <f>H1947*I1947</f>
        <v>0</v>
      </c>
    </row>
    <row r="1948" spans="1:10" ht="12" customHeight="1">
      <c r="A1948" s="13" t="s">
        <v>8635</v>
      </c>
      <c r="B1948" s="13" t="s">
        <v>8636</v>
      </c>
      <c r="C1948" s="13" t="s">
        <v>143</v>
      </c>
      <c r="D1948" s="13" t="s">
        <v>8498</v>
      </c>
      <c r="E1948" s="13" t="s">
        <v>93</v>
      </c>
      <c r="F1948" s="13" t="s">
        <v>8637</v>
      </c>
      <c r="G1948" s="20" t="str">
        <f>HYPERLINK("https://semena-nn.ru/catalog/46/999000009572","Фото")</f>
        <v>Фото</v>
      </c>
      <c r="H1948" s="18">
        <v>19.899999999999999</v>
      </c>
      <c r="I1948" s="27"/>
      <c r="J1948" s="13">
        <f>H1948*I1948</f>
        <v>0</v>
      </c>
    </row>
    <row r="1949" spans="1:10" ht="12" customHeight="1">
      <c r="A1949" s="13" t="s">
        <v>8433</v>
      </c>
      <c r="B1949" s="13" t="s">
        <v>8434</v>
      </c>
      <c r="C1949" s="13" t="s">
        <v>143</v>
      </c>
      <c r="D1949" s="13" t="s">
        <v>8317</v>
      </c>
      <c r="E1949" s="13" t="s">
        <v>93</v>
      </c>
      <c r="F1949" s="13" t="s">
        <v>8435</v>
      </c>
      <c r="G1949" s="20" t="str">
        <f>HYPERLINK("https://semena-nn.ru/catalog/46/999000021424","Фото")</f>
        <v>Фото</v>
      </c>
      <c r="H1949" s="19">
        <v>110.25</v>
      </c>
      <c r="I1949" s="27"/>
      <c r="J1949" s="13">
        <f>H1949*I1949</f>
        <v>0</v>
      </c>
    </row>
    <row r="1950" spans="1:10" ht="12" customHeight="1">
      <c r="A1950" s="13" t="s">
        <v>5524</v>
      </c>
      <c r="B1950" s="13" t="s">
        <v>5525</v>
      </c>
      <c r="C1950" s="13" t="s">
        <v>143</v>
      </c>
      <c r="D1950" s="13" t="s">
        <v>5136</v>
      </c>
      <c r="E1950" s="13" t="s">
        <v>93</v>
      </c>
      <c r="F1950" s="13" t="s">
        <v>5526</v>
      </c>
      <c r="G1950" s="20" t="str">
        <f>HYPERLINK("https://semena-nn.ru/catalog/46/1313894","Фото")</f>
        <v>Фото</v>
      </c>
      <c r="H1950" s="15">
        <v>56</v>
      </c>
      <c r="I1950" s="27"/>
      <c r="J1950" s="13">
        <f>H1950*I1950</f>
        <v>0</v>
      </c>
    </row>
    <row r="1951" spans="1:10" ht="12" customHeight="1">
      <c r="A1951" s="13" t="s">
        <v>526</v>
      </c>
      <c r="B1951" s="13" t="s">
        <v>527</v>
      </c>
      <c r="C1951" s="13" t="s">
        <v>143</v>
      </c>
      <c r="D1951" s="13" t="s">
        <v>28</v>
      </c>
      <c r="E1951" s="13" t="s">
        <v>93</v>
      </c>
      <c r="F1951" s="13" t="s">
        <v>528</v>
      </c>
      <c r="G1951" s="20" t="str">
        <f>HYPERLINK("https://semena-nn.ru/catalog/46/999000011224","Фото")</f>
        <v>Фото</v>
      </c>
      <c r="H1951" s="19">
        <v>28.88</v>
      </c>
      <c r="I1951" s="27"/>
      <c r="J1951" s="13">
        <f>H1951*I1951</f>
        <v>0</v>
      </c>
    </row>
    <row r="1952" spans="1:10" ht="12" customHeight="1">
      <c r="A1952" s="13" t="s">
        <v>529</v>
      </c>
      <c r="B1952" s="13" t="s">
        <v>530</v>
      </c>
      <c r="C1952" s="13" t="s">
        <v>143</v>
      </c>
      <c r="D1952" s="13" t="s">
        <v>28</v>
      </c>
      <c r="E1952" s="13" t="s">
        <v>93</v>
      </c>
      <c r="F1952" s="13" t="s">
        <v>531</v>
      </c>
      <c r="G1952" s="20" t="str">
        <f>HYPERLINK("https://semena-nn.ru/catalog/46/999000010056","Фото")</f>
        <v>Фото</v>
      </c>
      <c r="H1952" s="19">
        <v>172.73</v>
      </c>
      <c r="I1952" s="27"/>
      <c r="J1952" s="13">
        <f>H1952*I1952</f>
        <v>0</v>
      </c>
    </row>
    <row r="1953" spans="1:10" ht="12" customHeight="1">
      <c r="A1953" s="13" t="s">
        <v>7562</v>
      </c>
      <c r="B1953" s="13" t="s">
        <v>7563</v>
      </c>
      <c r="C1953" s="13" t="s">
        <v>143</v>
      </c>
      <c r="D1953" s="13" t="s">
        <v>7148</v>
      </c>
      <c r="E1953" s="13" t="s">
        <v>93</v>
      </c>
      <c r="F1953" s="13" t="s">
        <v>7564</v>
      </c>
      <c r="G1953" s="20" t="str">
        <f>HYPERLINK("http://semena-nn.ru/catalog/46/1313772","Фото")</f>
        <v>Фото</v>
      </c>
      <c r="H1953" s="18">
        <v>60.5</v>
      </c>
      <c r="I1953" s="27"/>
      <c r="J1953" s="13">
        <f>H1953*I1953</f>
        <v>0</v>
      </c>
    </row>
    <row r="1954" spans="1:10" ht="12" customHeight="1">
      <c r="A1954" s="13" t="s">
        <v>1779</v>
      </c>
      <c r="B1954" s="13" t="s">
        <v>1780</v>
      </c>
      <c r="C1954" s="13" t="s">
        <v>143</v>
      </c>
      <c r="D1954" s="13" t="s">
        <v>697</v>
      </c>
      <c r="E1954" s="13" t="s">
        <v>93</v>
      </c>
      <c r="F1954" s="13" t="s">
        <v>1781</v>
      </c>
      <c r="G1954" s="20" t="str">
        <f>HYPERLINK("http://semena-nn.ru/catalog/46/1303938","Фото")</f>
        <v>Фото</v>
      </c>
      <c r="H1954" s="15">
        <v>24</v>
      </c>
      <c r="I1954" s="27"/>
      <c r="J1954" s="13">
        <f>H1954*I1954</f>
        <v>0</v>
      </c>
    </row>
    <row r="1955" spans="1:10" ht="12" customHeight="1">
      <c r="A1955" s="13" t="s">
        <v>1782</v>
      </c>
      <c r="B1955" s="13" t="s">
        <v>1783</v>
      </c>
      <c r="C1955" s="13" t="s">
        <v>143</v>
      </c>
      <c r="D1955" s="13" t="s">
        <v>697</v>
      </c>
      <c r="E1955" s="13" t="s">
        <v>93</v>
      </c>
      <c r="F1955" s="13" t="s">
        <v>1784</v>
      </c>
      <c r="G1955" s="20" t="str">
        <f>HYPERLINK("http://semena-nn.ru/catalog/46/1308354","Фото")</f>
        <v>Фото</v>
      </c>
      <c r="H1955" s="15">
        <v>24</v>
      </c>
      <c r="I1955" s="27"/>
      <c r="J1955" s="13">
        <f>H1955*I1955</f>
        <v>0</v>
      </c>
    </row>
    <row r="1956" spans="1:10" ht="12" customHeight="1">
      <c r="A1956" s="13" t="s">
        <v>1785</v>
      </c>
      <c r="B1956" s="13" t="s">
        <v>1786</v>
      </c>
      <c r="C1956" s="13" t="s">
        <v>143</v>
      </c>
      <c r="D1956" s="13" t="s">
        <v>697</v>
      </c>
      <c r="E1956" s="13" t="s">
        <v>93</v>
      </c>
      <c r="F1956" s="17" t="s">
        <v>1787</v>
      </c>
      <c r="G1956" s="20" t="str">
        <f>HYPERLINK("https://semena-nn.ru/catalog/46/97944","Фото")</f>
        <v>Фото</v>
      </c>
      <c r="H1956" s="19">
        <v>28.95</v>
      </c>
      <c r="I1956" s="27"/>
      <c r="J1956" s="13">
        <f>H1956*I1956</f>
        <v>0</v>
      </c>
    </row>
    <row r="1957" spans="1:10" ht="12" customHeight="1">
      <c r="A1957" s="13" t="s">
        <v>5962</v>
      </c>
      <c r="B1957" s="13" t="s">
        <v>5963</v>
      </c>
      <c r="C1957" s="13" t="s">
        <v>143</v>
      </c>
      <c r="D1957" s="13" t="s">
        <v>5834</v>
      </c>
      <c r="E1957" s="13" t="s">
        <v>93</v>
      </c>
      <c r="F1957" s="13" t="s">
        <v>5964</v>
      </c>
      <c r="G1957" s="20" t="str">
        <f>HYPERLINK("https://semena-nn.ru/catalog/46/888000001576","Фото")</f>
        <v>Фото</v>
      </c>
      <c r="H1957" s="19">
        <v>14.81</v>
      </c>
      <c r="I1957" s="27"/>
      <c r="J1957" s="13">
        <f>H1957*I1957</f>
        <v>0</v>
      </c>
    </row>
    <row r="1958" spans="1:10" ht="12" customHeight="1">
      <c r="A1958" s="13" t="s">
        <v>1788</v>
      </c>
      <c r="B1958" s="13" t="s">
        <v>1789</v>
      </c>
      <c r="C1958" s="13" t="s">
        <v>143</v>
      </c>
      <c r="D1958" s="13" t="s">
        <v>697</v>
      </c>
      <c r="E1958" s="13" t="s">
        <v>93</v>
      </c>
      <c r="F1958" s="13" t="s">
        <v>1790</v>
      </c>
      <c r="G1958" s="20" t="str">
        <f>HYPERLINK("https://semena-nn.ru/catalog/46/888000000882","Фото")</f>
        <v>Фото</v>
      </c>
      <c r="H1958" s="18">
        <v>21.3</v>
      </c>
      <c r="I1958" s="27"/>
      <c r="J1958" s="13">
        <f>H1958*I1958</f>
        <v>0</v>
      </c>
    </row>
    <row r="1959" spans="1:10" ht="12" customHeight="1">
      <c r="A1959" s="13" t="s">
        <v>6324</v>
      </c>
      <c r="B1959" s="13" t="s">
        <v>6325</v>
      </c>
      <c r="C1959" s="13" t="s">
        <v>143</v>
      </c>
      <c r="D1959" s="13" t="s">
        <v>6295</v>
      </c>
      <c r="E1959" s="13" t="s">
        <v>93</v>
      </c>
      <c r="F1959" s="13" t="s">
        <v>6326</v>
      </c>
      <c r="G1959" s="20" t="str">
        <f>HYPERLINK("https://semena-nn.ru/catalog/46/999000005899","Фото")</f>
        <v>Фото</v>
      </c>
      <c r="H1959" s="19">
        <v>131.25</v>
      </c>
      <c r="I1959" s="27"/>
      <c r="J1959" s="13">
        <f>H1959*I1959</f>
        <v>0</v>
      </c>
    </row>
    <row r="1960" spans="1:10" ht="12" customHeight="1">
      <c r="A1960" s="13" t="s">
        <v>7565</v>
      </c>
      <c r="B1960" s="13" t="s">
        <v>7566</v>
      </c>
      <c r="C1960" s="13" t="s">
        <v>143</v>
      </c>
      <c r="D1960" s="13" t="s">
        <v>7148</v>
      </c>
      <c r="E1960" s="13" t="s">
        <v>93</v>
      </c>
      <c r="F1960" s="13" t="s">
        <v>7567</v>
      </c>
      <c r="G1960" s="20" t="str">
        <f>HYPERLINK("https://semena-nn.ru/catalog/46/999000009524","Фото")</f>
        <v>Фото</v>
      </c>
      <c r="H1960" s="18">
        <v>171.4</v>
      </c>
      <c r="I1960" s="27"/>
      <c r="J1960" s="13">
        <f>H1960*I1960</f>
        <v>0</v>
      </c>
    </row>
    <row r="1961" spans="1:10" ht="12" customHeight="1">
      <c r="A1961" s="13" t="s">
        <v>7568</v>
      </c>
      <c r="B1961" s="13" t="s">
        <v>7569</v>
      </c>
      <c r="C1961" s="13" t="s">
        <v>143</v>
      </c>
      <c r="D1961" s="13" t="s">
        <v>7148</v>
      </c>
      <c r="E1961" s="13" t="s">
        <v>93</v>
      </c>
      <c r="F1961" s="13" t="s">
        <v>7570</v>
      </c>
      <c r="G1961" s="20" t="str">
        <f>HYPERLINK("https://semena-nn.ru/catalog/46/888000000091","Фото")</f>
        <v>Фото</v>
      </c>
      <c r="H1961" s="18">
        <v>70.599999999999994</v>
      </c>
      <c r="I1961" s="27"/>
      <c r="J1961" s="13">
        <f>H1961*I1961</f>
        <v>0</v>
      </c>
    </row>
    <row r="1962" spans="1:10" ht="12" customHeight="1">
      <c r="A1962" s="13" t="s">
        <v>7571</v>
      </c>
      <c r="B1962" s="13" t="s">
        <v>7572</v>
      </c>
      <c r="C1962" s="13" t="s">
        <v>143</v>
      </c>
      <c r="D1962" s="13" t="s">
        <v>7148</v>
      </c>
      <c r="E1962" s="13" t="s">
        <v>93</v>
      </c>
      <c r="F1962" s="13" t="s">
        <v>7573</v>
      </c>
      <c r="G1962" s="20" t="str">
        <f>HYPERLINK("https://semena-nn.ru/catalog/46/888000000361","Фото")</f>
        <v>Фото</v>
      </c>
      <c r="H1962" s="18">
        <v>200.3</v>
      </c>
      <c r="I1962" s="27"/>
      <c r="J1962" s="13">
        <f>H1962*I1962</f>
        <v>0</v>
      </c>
    </row>
    <row r="1963" spans="1:10" ht="12" customHeight="1">
      <c r="A1963" s="13" t="s">
        <v>7574</v>
      </c>
      <c r="B1963" s="13" t="s">
        <v>7575</v>
      </c>
      <c r="C1963" s="13" t="s">
        <v>143</v>
      </c>
      <c r="D1963" s="13" t="s">
        <v>7148</v>
      </c>
      <c r="E1963" s="13" t="s">
        <v>93</v>
      </c>
      <c r="F1963" s="13" t="s">
        <v>7576</v>
      </c>
      <c r="G1963" s="20" t="str">
        <f>HYPERLINK("https://semena-nn.ru/catalog/46/999000009525","Фото")</f>
        <v>Фото</v>
      </c>
      <c r="H1963" s="15">
        <v>126</v>
      </c>
      <c r="I1963" s="27"/>
      <c r="J1963" s="13">
        <f>H1963*I1963</f>
        <v>0</v>
      </c>
    </row>
    <row r="1964" spans="1:10" ht="12" customHeight="1">
      <c r="A1964" s="13" t="s">
        <v>7577</v>
      </c>
      <c r="B1964" s="13" t="s">
        <v>7578</v>
      </c>
      <c r="C1964" s="13" t="s">
        <v>143</v>
      </c>
      <c r="D1964" s="13" t="s">
        <v>7148</v>
      </c>
      <c r="E1964" s="13" t="s">
        <v>93</v>
      </c>
      <c r="F1964" s="13" t="s">
        <v>7579</v>
      </c>
      <c r="G1964" s="20" t="str">
        <f>HYPERLINK("https://semena-nn.ru/catalog/46/999000009526","Фото")</f>
        <v>Фото</v>
      </c>
      <c r="H1964" s="19">
        <v>115.95</v>
      </c>
      <c r="I1964" s="27"/>
      <c r="J1964" s="13">
        <f>H1964*I1964</f>
        <v>0</v>
      </c>
    </row>
    <row r="1965" spans="1:10" ht="12" customHeight="1">
      <c r="A1965" s="13" t="s">
        <v>7580</v>
      </c>
      <c r="B1965" s="13" t="s">
        <v>7581</v>
      </c>
      <c r="C1965" s="13" t="s">
        <v>143</v>
      </c>
      <c r="D1965" s="13" t="s">
        <v>7148</v>
      </c>
      <c r="E1965" s="13" t="s">
        <v>93</v>
      </c>
      <c r="F1965" s="13" t="s">
        <v>7582</v>
      </c>
      <c r="G1965" s="20" t="str">
        <f>HYPERLINK("https://semena-nn.ru/catalog/46/888000000092","Фото")</f>
        <v>Фото</v>
      </c>
      <c r="H1965" s="18">
        <v>75.599999999999994</v>
      </c>
      <c r="I1965" s="27"/>
      <c r="J1965" s="13">
        <f>H1965*I1965</f>
        <v>0</v>
      </c>
    </row>
    <row r="1966" spans="1:10" ht="12" customHeight="1">
      <c r="A1966" s="13" t="s">
        <v>7583</v>
      </c>
      <c r="B1966" s="13" t="s">
        <v>7584</v>
      </c>
      <c r="C1966" s="13" t="s">
        <v>143</v>
      </c>
      <c r="D1966" s="13" t="s">
        <v>7148</v>
      </c>
      <c r="E1966" s="13" t="s">
        <v>93</v>
      </c>
      <c r="F1966" s="13" t="s">
        <v>7585</v>
      </c>
      <c r="G1966" s="20" t="str">
        <f>HYPERLINK("https://semena-nn.ru/catalog/46/999000009527","Фото")</f>
        <v>Фото</v>
      </c>
      <c r="H1966" s="15">
        <v>121</v>
      </c>
      <c r="I1966" s="27"/>
      <c r="J1966" s="13">
        <f>H1966*I1966</f>
        <v>0</v>
      </c>
    </row>
    <row r="1967" spans="1:10" ht="12" customHeight="1">
      <c r="A1967" s="13"/>
      <c r="B1967" s="13" t="s">
        <v>7586</v>
      </c>
      <c r="C1967" s="13" t="s">
        <v>143</v>
      </c>
      <c r="D1967" s="13" t="s">
        <v>7148</v>
      </c>
      <c r="E1967" s="13" t="s">
        <v>93</v>
      </c>
      <c r="F1967" s="13"/>
      <c r="G1967" s="13"/>
      <c r="H1967" s="18">
        <v>56.6</v>
      </c>
      <c r="I1967" s="27"/>
      <c r="J1967" s="13">
        <f>H1967*I1967</f>
        <v>0</v>
      </c>
    </row>
    <row r="1968" spans="1:10" ht="12" customHeight="1">
      <c r="A1968" s="13" t="s">
        <v>7587</v>
      </c>
      <c r="B1968" s="13" t="s">
        <v>7588</v>
      </c>
      <c r="C1968" s="13" t="s">
        <v>143</v>
      </c>
      <c r="D1968" s="13" t="s">
        <v>7148</v>
      </c>
      <c r="E1968" s="13" t="s">
        <v>93</v>
      </c>
      <c r="F1968" s="13" t="s">
        <v>7589</v>
      </c>
      <c r="G1968" s="20" t="str">
        <f>HYPERLINK("https://semena-nn.ru/catalog/46/888000007472","Фото")</f>
        <v>Фото</v>
      </c>
      <c r="H1968" s="18">
        <v>60.5</v>
      </c>
      <c r="I1968" s="27"/>
      <c r="J1968" s="13">
        <f>H1968*I1968</f>
        <v>0</v>
      </c>
    </row>
    <row r="1969" spans="1:10" ht="12" customHeight="1">
      <c r="A1969" s="13" t="s">
        <v>8219</v>
      </c>
      <c r="B1969" s="13" t="s">
        <v>8220</v>
      </c>
      <c r="C1969" s="13" t="s">
        <v>143</v>
      </c>
      <c r="D1969" s="13" t="s">
        <v>7728</v>
      </c>
      <c r="E1969" s="13" t="s">
        <v>93</v>
      </c>
      <c r="F1969" s="13" t="s">
        <v>8221</v>
      </c>
      <c r="G1969" s="20" t="str">
        <f>HYPERLINK("http://semena-nn.ru/catalog/46/1283299","Фото")</f>
        <v>Фото</v>
      </c>
      <c r="H1969" s="18">
        <v>75.400000000000006</v>
      </c>
      <c r="I1969" s="27"/>
      <c r="J1969" s="13">
        <f>H1969*I1969</f>
        <v>0</v>
      </c>
    </row>
    <row r="1970" spans="1:10" ht="12" customHeight="1">
      <c r="A1970" s="13" t="s">
        <v>8638</v>
      </c>
      <c r="B1970" s="13" t="s">
        <v>8639</v>
      </c>
      <c r="C1970" s="13" t="s">
        <v>143</v>
      </c>
      <c r="D1970" s="13" t="s">
        <v>8498</v>
      </c>
      <c r="E1970" s="13" t="s">
        <v>93</v>
      </c>
      <c r="F1970" s="13" t="s">
        <v>8640</v>
      </c>
      <c r="G1970" s="20" t="str">
        <f>HYPERLINK("https://semena-nn.ru/catalog/46/999000011370","Фото")</f>
        <v>Фото</v>
      </c>
      <c r="H1970" s="19">
        <v>24.15</v>
      </c>
      <c r="I1970" s="27"/>
      <c r="J1970" s="13">
        <f>H1970*I1970</f>
        <v>0</v>
      </c>
    </row>
    <row r="1971" spans="1:10" ht="12" customHeight="1">
      <c r="A1971" s="13" t="s">
        <v>7590</v>
      </c>
      <c r="B1971" s="13" t="s">
        <v>7591</v>
      </c>
      <c r="C1971" s="13" t="s">
        <v>143</v>
      </c>
      <c r="D1971" s="13" t="s">
        <v>7148</v>
      </c>
      <c r="E1971" s="13" t="s">
        <v>93</v>
      </c>
      <c r="F1971" s="13" t="s">
        <v>7592</v>
      </c>
      <c r="G1971" s="20" t="str">
        <f>HYPERLINK("https://semena-nn.ru/catalog/46/999000005870","Фото")</f>
        <v>Фото</v>
      </c>
      <c r="H1971" s="19">
        <v>115.95</v>
      </c>
      <c r="I1971" s="27"/>
      <c r="J1971" s="13">
        <f>H1971*I1971</f>
        <v>0</v>
      </c>
    </row>
    <row r="1972" spans="1:10" ht="12" customHeight="1">
      <c r="A1972" s="13" t="s">
        <v>8932</v>
      </c>
      <c r="B1972" s="13" t="s">
        <v>8933</v>
      </c>
      <c r="C1972" s="13" t="s">
        <v>143</v>
      </c>
      <c r="D1972" s="13" t="s">
        <v>8717</v>
      </c>
      <c r="E1972" s="13" t="s">
        <v>93</v>
      </c>
      <c r="F1972" s="13" t="s">
        <v>8934</v>
      </c>
      <c r="G1972" s="20" t="str">
        <f>HYPERLINK("https://semena-nn.ru/catalog/46/999000002344","Фото")</f>
        <v>Фото</v>
      </c>
      <c r="H1972" s="18">
        <v>57.2</v>
      </c>
      <c r="I1972" s="27"/>
      <c r="J1972" s="13">
        <f>H1972*I1972</f>
        <v>0</v>
      </c>
    </row>
    <row r="1973" spans="1:10" ht="12" customHeight="1">
      <c r="A1973" s="13" t="s">
        <v>1791</v>
      </c>
      <c r="B1973" s="13" t="s">
        <v>1792</v>
      </c>
      <c r="C1973" s="13" t="s">
        <v>143</v>
      </c>
      <c r="D1973" s="13" t="s">
        <v>697</v>
      </c>
      <c r="E1973" s="13" t="s">
        <v>93</v>
      </c>
      <c r="F1973" s="13" t="s">
        <v>1793</v>
      </c>
      <c r="G1973" s="20" t="str">
        <f>HYPERLINK("http://semena-nn.ru/catalog/46/1311062","Фото")</f>
        <v>Фото</v>
      </c>
      <c r="H1973" s="15">
        <v>24</v>
      </c>
      <c r="I1973" s="27"/>
      <c r="J1973" s="13">
        <f>H1973*I1973</f>
        <v>0</v>
      </c>
    </row>
    <row r="1974" spans="1:10" ht="12" customHeight="1">
      <c r="A1974" s="13" t="s">
        <v>4250</v>
      </c>
      <c r="B1974" s="13" t="s">
        <v>4251</v>
      </c>
      <c r="C1974" s="13" t="s">
        <v>143</v>
      </c>
      <c r="D1974" s="13" t="s">
        <v>3475</v>
      </c>
      <c r="E1974" s="13" t="s">
        <v>93</v>
      </c>
      <c r="F1974" s="13" t="s">
        <v>4252</v>
      </c>
      <c r="G1974" s="20" t="str">
        <f>HYPERLINK("http://semena-nn.ru/catalog/46/1303886","Фото")</f>
        <v>Фото</v>
      </c>
      <c r="H1974" s="18">
        <v>35.299999999999997</v>
      </c>
      <c r="I1974" s="27"/>
      <c r="J1974" s="13">
        <f>H1974*I1974</f>
        <v>0</v>
      </c>
    </row>
    <row r="1975" spans="1:10" ht="12" customHeight="1">
      <c r="A1975" s="13" t="s">
        <v>1794</v>
      </c>
      <c r="B1975" s="13" t="s">
        <v>1795</v>
      </c>
      <c r="C1975" s="13" t="s">
        <v>143</v>
      </c>
      <c r="D1975" s="13" t="s">
        <v>697</v>
      </c>
      <c r="E1975" s="13" t="s">
        <v>93</v>
      </c>
      <c r="F1975" s="13" t="s">
        <v>1796</v>
      </c>
      <c r="G1975" s="20" t="str">
        <f>HYPERLINK("https://semena-nn.ru/catalog/46/888000007515","Фото")</f>
        <v>Фото</v>
      </c>
      <c r="H1975" s="18">
        <v>19.899999999999999</v>
      </c>
      <c r="I1975" s="27"/>
      <c r="J1975" s="13">
        <f>H1975*I1975</f>
        <v>0</v>
      </c>
    </row>
    <row r="1976" spans="1:10" ht="12" customHeight="1">
      <c r="A1976" s="13" t="s">
        <v>5527</v>
      </c>
      <c r="B1976" s="13" t="s">
        <v>5528</v>
      </c>
      <c r="C1976" s="13" t="s">
        <v>143</v>
      </c>
      <c r="D1976" s="13" t="s">
        <v>5136</v>
      </c>
      <c r="E1976" s="13" t="s">
        <v>93</v>
      </c>
      <c r="F1976" s="13" t="s">
        <v>5529</v>
      </c>
      <c r="G1976" s="20" t="str">
        <f>HYPERLINK("https://semena-nn.ru/catalog/46/999000019918","Фото")</f>
        <v>Фото</v>
      </c>
      <c r="H1976" s="15">
        <v>58</v>
      </c>
      <c r="I1976" s="27"/>
      <c r="J1976" s="13">
        <f>H1976*I1976</f>
        <v>0</v>
      </c>
    </row>
    <row r="1977" spans="1:10" ht="12" customHeight="1">
      <c r="A1977" s="13" t="s">
        <v>1797</v>
      </c>
      <c r="B1977" s="13" t="s">
        <v>1798</v>
      </c>
      <c r="C1977" s="13" t="s">
        <v>143</v>
      </c>
      <c r="D1977" s="13" t="s">
        <v>697</v>
      </c>
      <c r="E1977" s="13" t="s">
        <v>93</v>
      </c>
      <c r="F1977" s="13" t="s">
        <v>1799</v>
      </c>
      <c r="G1977" s="20" t="str">
        <f>HYPERLINK("https://semena-nn.ru/catalog/46/1305947","Фото")</f>
        <v>Фото</v>
      </c>
      <c r="H1977" s="18">
        <v>21.3</v>
      </c>
      <c r="I1977" s="27"/>
      <c r="J1977" s="13">
        <f>H1977*I1977</f>
        <v>0</v>
      </c>
    </row>
    <row r="1978" spans="1:10" ht="12" customHeight="1">
      <c r="A1978" s="13" t="s">
        <v>7593</v>
      </c>
      <c r="B1978" s="13" t="s">
        <v>7594</v>
      </c>
      <c r="C1978" s="13" t="s">
        <v>143</v>
      </c>
      <c r="D1978" s="13" t="s">
        <v>7148</v>
      </c>
      <c r="E1978" s="13" t="s">
        <v>93</v>
      </c>
      <c r="F1978" s="13" t="s">
        <v>7595</v>
      </c>
      <c r="G1978" s="20" t="str">
        <f>HYPERLINK("https://semena-nn.ru/catalog/46/999000009528","Фото")</f>
        <v>Фото</v>
      </c>
      <c r="H1978" s="18">
        <v>65.5</v>
      </c>
      <c r="I1978" s="27"/>
      <c r="J1978" s="13">
        <f>H1978*I1978</f>
        <v>0</v>
      </c>
    </row>
    <row r="1979" spans="1:10" ht="12" customHeight="1">
      <c r="A1979" s="13" t="s">
        <v>7596</v>
      </c>
      <c r="B1979" s="13" t="s">
        <v>7597</v>
      </c>
      <c r="C1979" s="13" t="s">
        <v>143</v>
      </c>
      <c r="D1979" s="13" t="s">
        <v>7148</v>
      </c>
      <c r="E1979" s="13" t="s">
        <v>93</v>
      </c>
      <c r="F1979" s="13" t="s">
        <v>7598</v>
      </c>
      <c r="G1979" s="20" t="str">
        <f>HYPERLINK("http://semena-nn.ru/catalog/46/1313773","Фото")</f>
        <v>Фото</v>
      </c>
      <c r="H1979" s="18">
        <v>75.599999999999994</v>
      </c>
      <c r="I1979" s="27"/>
      <c r="J1979" s="13">
        <f>H1979*I1979</f>
        <v>0</v>
      </c>
    </row>
    <row r="1980" spans="1:10" ht="12" customHeight="1">
      <c r="A1980" s="13" t="s">
        <v>532</v>
      </c>
      <c r="B1980" s="13" t="s">
        <v>533</v>
      </c>
      <c r="C1980" s="13" t="s">
        <v>143</v>
      </c>
      <c r="D1980" s="13" t="s">
        <v>28</v>
      </c>
      <c r="E1980" s="13" t="s">
        <v>93</v>
      </c>
      <c r="F1980" s="13" t="s">
        <v>534</v>
      </c>
      <c r="G1980" s="20" t="str">
        <f>HYPERLINK("https://semena-nn.ru/catalog/46/999000012952","Фото")</f>
        <v>Фото</v>
      </c>
      <c r="H1980" s="19">
        <v>156.87</v>
      </c>
      <c r="I1980" s="27"/>
      <c r="J1980" s="13">
        <f>H1980*I1980</f>
        <v>0</v>
      </c>
    </row>
    <row r="1981" spans="1:10" ht="12" customHeight="1">
      <c r="A1981" s="13" t="s">
        <v>1800</v>
      </c>
      <c r="B1981" s="13" t="s">
        <v>1801</v>
      </c>
      <c r="C1981" s="13" t="s">
        <v>143</v>
      </c>
      <c r="D1981" s="13" t="s">
        <v>697</v>
      </c>
      <c r="E1981" s="13" t="s">
        <v>93</v>
      </c>
      <c r="F1981" s="13" t="s">
        <v>1802</v>
      </c>
      <c r="G1981" s="20" t="str">
        <f>HYPERLINK("https://semena-nn.ru/catalog/46/105080","Фото")</f>
        <v>Фото</v>
      </c>
      <c r="H1981" s="18">
        <v>52.2</v>
      </c>
      <c r="I1981" s="27"/>
      <c r="J1981" s="13">
        <f>H1981*I1981</f>
        <v>0</v>
      </c>
    </row>
    <row r="1982" spans="1:10" ht="12" customHeight="1">
      <c r="A1982" s="13" t="s">
        <v>1803</v>
      </c>
      <c r="B1982" s="13" t="s">
        <v>1804</v>
      </c>
      <c r="C1982" s="13" t="s">
        <v>143</v>
      </c>
      <c r="D1982" s="13" t="s">
        <v>697</v>
      </c>
      <c r="E1982" s="13" t="s">
        <v>93</v>
      </c>
      <c r="F1982" s="13" t="s">
        <v>1805</v>
      </c>
      <c r="G1982" s="20" t="str">
        <f>HYPERLINK("https://semena-nn.ru/catalog/46/999000008057","Фото")</f>
        <v>Фото</v>
      </c>
      <c r="H1982" s="18">
        <v>30.9</v>
      </c>
      <c r="I1982" s="27"/>
      <c r="J1982" s="13">
        <f>H1982*I1982</f>
        <v>0</v>
      </c>
    </row>
    <row r="1983" spans="1:10" ht="12" customHeight="1">
      <c r="A1983" s="13" t="s">
        <v>7599</v>
      </c>
      <c r="B1983" s="13" t="s">
        <v>7600</v>
      </c>
      <c r="C1983" s="13" t="s">
        <v>143</v>
      </c>
      <c r="D1983" s="13" t="s">
        <v>7148</v>
      </c>
      <c r="E1983" s="13" t="s">
        <v>93</v>
      </c>
      <c r="F1983" s="13" t="s">
        <v>7601</v>
      </c>
      <c r="G1983" s="20" t="str">
        <f>HYPERLINK("https://semena-nn.ru/catalog/46/888000000093","Фото")</f>
        <v>Фото</v>
      </c>
      <c r="H1983" s="18">
        <v>69.3</v>
      </c>
      <c r="I1983" s="27"/>
      <c r="J1983" s="13">
        <f>H1983*I1983</f>
        <v>0</v>
      </c>
    </row>
    <row r="1984" spans="1:10" ht="12" customHeight="1">
      <c r="A1984" s="13" t="s">
        <v>8935</v>
      </c>
      <c r="B1984" s="13" t="s">
        <v>8936</v>
      </c>
      <c r="C1984" s="13" t="s">
        <v>143</v>
      </c>
      <c r="D1984" s="13" t="s">
        <v>8717</v>
      </c>
      <c r="E1984" s="13" t="s">
        <v>93</v>
      </c>
      <c r="F1984" s="17" t="s">
        <v>8937</v>
      </c>
      <c r="G1984" s="20" t="str">
        <f>HYPERLINK("https://semena-nn.ru/catalog/46/1303776","Фото")</f>
        <v>Фото</v>
      </c>
      <c r="H1984" s="18">
        <v>26.5</v>
      </c>
      <c r="I1984" s="27"/>
      <c r="J1984" s="13">
        <f>H1984*I1984</f>
        <v>0</v>
      </c>
    </row>
    <row r="1985" spans="1:10" ht="12" customHeight="1">
      <c r="A1985" s="13" t="s">
        <v>7602</v>
      </c>
      <c r="B1985" s="13" t="s">
        <v>7603</v>
      </c>
      <c r="C1985" s="13" t="s">
        <v>143</v>
      </c>
      <c r="D1985" s="13" t="s">
        <v>7148</v>
      </c>
      <c r="E1985" s="13" t="s">
        <v>93</v>
      </c>
      <c r="F1985" s="17" t="s">
        <v>7604</v>
      </c>
      <c r="G1985" s="20" t="str">
        <f>HYPERLINK("http://semena-nn.ru/catalog/46/1314934","Фото")</f>
        <v>Фото</v>
      </c>
      <c r="H1985" s="18">
        <v>65.5</v>
      </c>
      <c r="I1985" s="27"/>
      <c r="J1985" s="13">
        <f>H1985*I1985</f>
        <v>0</v>
      </c>
    </row>
    <row r="1986" spans="1:10" ht="12" customHeight="1">
      <c r="A1986" s="13" t="s">
        <v>1806</v>
      </c>
      <c r="B1986" s="13" t="s">
        <v>1807</v>
      </c>
      <c r="C1986" s="13" t="s">
        <v>143</v>
      </c>
      <c r="D1986" s="13" t="s">
        <v>697</v>
      </c>
      <c r="E1986" s="13" t="s">
        <v>93</v>
      </c>
      <c r="F1986" s="13" t="s">
        <v>1808</v>
      </c>
      <c r="G1986" s="20" t="str">
        <f>HYPERLINK("http://semena-nn.ru/catalog/46/1298497","Фото")</f>
        <v>Фото</v>
      </c>
      <c r="H1986" s="19">
        <v>37.35</v>
      </c>
      <c r="I1986" s="27"/>
      <c r="J1986" s="13">
        <f>H1986*I1986</f>
        <v>0</v>
      </c>
    </row>
    <row r="1987" spans="1:10" ht="12" customHeight="1">
      <c r="A1987" s="13" t="s">
        <v>6587</v>
      </c>
      <c r="B1987" s="13" t="s">
        <v>6588</v>
      </c>
      <c r="C1987" s="13" t="s">
        <v>143</v>
      </c>
      <c r="D1987" s="13" t="s">
        <v>87</v>
      </c>
      <c r="E1987" s="13" t="s">
        <v>93</v>
      </c>
      <c r="F1987" s="13" t="s">
        <v>6589</v>
      </c>
      <c r="G1987" s="20" t="str">
        <f>HYPERLINK("https://semena-nn.ru/catalog/46/999000004220","Фото")</f>
        <v>Фото</v>
      </c>
      <c r="H1987" s="18">
        <v>22.7</v>
      </c>
      <c r="I1987" s="27"/>
      <c r="J1987" s="13">
        <f>H1987*I1987</f>
        <v>0</v>
      </c>
    </row>
    <row r="1988" spans="1:10" ht="12" customHeight="1">
      <c r="A1988" s="13" t="s">
        <v>7605</v>
      </c>
      <c r="B1988" s="13" t="s">
        <v>7606</v>
      </c>
      <c r="C1988" s="13" t="s">
        <v>143</v>
      </c>
      <c r="D1988" s="13" t="s">
        <v>7148</v>
      </c>
      <c r="E1988" s="13" t="s">
        <v>93</v>
      </c>
      <c r="F1988" s="13" t="s">
        <v>7607</v>
      </c>
      <c r="G1988" s="20" t="str">
        <f>HYPERLINK("https://semena-nn.ru/catalog/46/999000007904","Фото")</f>
        <v>Фото</v>
      </c>
      <c r="H1988" s="18">
        <v>75.599999999999994</v>
      </c>
      <c r="I1988" s="27"/>
      <c r="J1988" s="13">
        <f>H1988*I1988</f>
        <v>0</v>
      </c>
    </row>
    <row r="1989" spans="1:10" ht="12" customHeight="1">
      <c r="A1989" s="13" t="s">
        <v>8436</v>
      </c>
      <c r="B1989" s="13" t="s">
        <v>8437</v>
      </c>
      <c r="C1989" s="13" t="s">
        <v>143</v>
      </c>
      <c r="D1989" s="13" t="s">
        <v>8317</v>
      </c>
      <c r="E1989" s="13" t="s">
        <v>93</v>
      </c>
      <c r="F1989" s="13" t="s">
        <v>8438</v>
      </c>
      <c r="G1989" s="20" t="str">
        <f>HYPERLINK("https://semena-nn.ru/catalog/46/888000000401","Фото")</f>
        <v>Фото</v>
      </c>
      <c r="H1989" s="18">
        <v>137.80000000000001</v>
      </c>
      <c r="I1989" s="27"/>
      <c r="J1989" s="13">
        <f>H1989*I1989</f>
        <v>0</v>
      </c>
    </row>
    <row r="1990" spans="1:10" ht="12" customHeight="1">
      <c r="A1990" s="13" t="s">
        <v>7608</v>
      </c>
      <c r="B1990" s="13" t="s">
        <v>7609</v>
      </c>
      <c r="C1990" s="13" t="s">
        <v>143</v>
      </c>
      <c r="D1990" s="13" t="s">
        <v>7148</v>
      </c>
      <c r="E1990" s="13" t="s">
        <v>93</v>
      </c>
      <c r="F1990" s="13" t="s">
        <v>7610</v>
      </c>
      <c r="G1990" s="20" t="str">
        <f>HYPERLINK("https://semena-nn.ru/catalog/46/999000008557","Фото")</f>
        <v>Фото</v>
      </c>
      <c r="H1990" s="18">
        <v>136.1</v>
      </c>
      <c r="I1990" s="27"/>
      <c r="J1990" s="13">
        <f>H1990*I1990</f>
        <v>0</v>
      </c>
    </row>
    <row r="1991" spans="1:10" ht="12" customHeight="1">
      <c r="A1991" s="13" t="s">
        <v>7611</v>
      </c>
      <c r="B1991" s="13" t="s">
        <v>7612</v>
      </c>
      <c r="C1991" s="13" t="s">
        <v>143</v>
      </c>
      <c r="D1991" s="13" t="s">
        <v>7148</v>
      </c>
      <c r="E1991" s="13" t="s">
        <v>93</v>
      </c>
      <c r="F1991" s="13" t="s">
        <v>7613</v>
      </c>
      <c r="G1991" s="20" t="str">
        <f>HYPERLINK("http://semena-nn.ru/catalog/46/1314243","Фото")</f>
        <v>Фото</v>
      </c>
      <c r="H1991" s="18">
        <v>65.5</v>
      </c>
      <c r="I1991" s="27"/>
      <c r="J1991" s="13">
        <f>H1991*I1991</f>
        <v>0</v>
      </c>
    </row>
    <row r="1992" spans="1:10" ht="12" customHeight="1">
      <c r="A1992" s="13" t="s">
        <v>7614</v>
      </c>
      <c r="B1992" s="13" t="s">
        <v>7615</v>
      </c>
      <c r="C1992" s="13" t="s">
        <v>143</v>
      </c>
      <c r="D1992" s="13" t="s">
        <v>7148</v>
      </c>
      <c r="E1992" s="13" t="s">
        <v>93</v>
      </c>
      <c r="F1992" s="13" t="s">
        <v>7616</v>
      </c>
      <c r="G1992" s="20" t="str">
        <f>HYPERLINK("https://semena-nn.ru/catalog/46/888000000094","Фото")</f>
        <v>Фото</v>
      </c>
      <c r="H1992" s="18">
        <v>69.3</v>
      </c>
      <c r="I1992" s="27"/>
      <c r="J1992" s="13">
        <f>H1992*I1992</f>
        <v>0</v>
      </c>
    </row>
    <row r="1993" spans="1:10" ht="12" customHeight="1">
      <c r="A1993" s="13" t="s">
        <v>8439</v>
      </c>
      <c r="B1993" s="13" t="s">
        <v>8440</v>
      </c>
      <c r="C1993" s="13" t="s">
        <v>143</v>
      </c>
      <c r="D1993" s="13" t="s">
        <v>8317</v>
      </c>
      <c r="E1993" s="13" t="s">
        <v>93</v>
      </c>
      <c r="F1993" s="13" t="s">
        <v>8441</v>
      </c>
      <c r="G1993" s="20" t="str">
        <f>HYPERLINK("https://semena-nn.ru/catalog/46/1314054","Фото")</f>
        <v>Фото</v>
      </c>
      <c r="H1993" s="18">
        <v>82.7</v>
      </c>
      <c r="I1993" s="27"/>
      <c r="J1993" s="13">
        <f>H1993*I1993</f>
        <v>0</v>
      </c>
    </row>
    <row r="1994" spans="1:10" ht="12" customHeight="1">
      <c r="A1994" s="13" t="s">
        <v>7617</v>
      </c>
      <c r="B1994" s="13" t="s">
        <v>7618</v>
      </c>
      <c r="C1994" s="13" t="s">
        <v>143</v>
      </c>
      <c r="D1994" s="13" t="s">
        <v>7148</v>
      </c>
      <c r="E1994" s="13" t="s">
        <v>93</v>
      </c>
      <c r="F1994" s="13" t="s">
        <v>7619</v>
      </c>
      <c r="G1994" s="20" t="str">
        <f>HYPERLINK("https://semena-nn.ru/catalog/46/999000007907","Фото")</f>
        <v>Фото</v>
      </c>
      <c r="H1994" s="18">
        <v>60.5</v>
      </c>
      <c r="I1994" s="27"/>
      <c r="J1994" s="13">
        <f>H1994*I1994</f>
        <v>0</v>
      </c>
    </row>
    <row r="1995" spans="1:10" ht="12" customHeight="1">
      <c r="A1995" s="13" t="s">
        <v>5104</v>
      </c>
      <c r="B1995" s="13" t="s">
        <v>5105</v>
      </c>
      <c r="C1995" s="13" t="s">
        <v>143</v>
      </c>
      <c r="D1995" s="13" t="s">
        <v>5045</v>
      </c>
      <c r="E1995" s="13" t="s">
        <v>93</v>
      </c>
      <c r="F1995" s="13" t="s">
        <v>5106</v>
      </c>
      <c r="G1995" s="20" t="str">
        <f>HYPERLINK("http://semena-nn.ru/catalog/46/11111","Фото")</f>
        <v>Фото</v>
      </c>
      <c r="H1995" s="19">
        <v>27.75</v>
      </c>
      <c r="I1995" s="27"/>
      <c r="J1995" s="13">
        <f>H1995*I1995</f>
        <v>0</v>
      </c>
    </row>
    <row r="1996" spans="1:10" ht="12" customHeight="1">
      <c r="A1996" s="13" t="s">
        <v>8442</v>
      </c>
      <c r="B1996" s="13" t="s">
        <v>8443</v>
      </c>
      <c r="C1996" s="13" t="s">
        <v>143</v>
      </c>
      <c r="D1996" s="13" t="s">
        <v>8317</v>
      </c>
      <c r="E1996" s="13" t="s">
        <v>93</v>
      </c>
      <c r="F1996" s="13" t="s">
        <v>8444</v>
      </c>
      <c r="G1996" s="20" t="str">
        <f>HYPERLINK("http://semena-nn.ru/catalog/46/1298419","Фото")</f>
        <v>Фото</v>
      </c>
      <c r="H1996" s="18">
        <v>121.3</v>
      </c>
      <c r="I1996" s="27"/>
      <c r="J1996" s="13">
        <f>H1996*I1996</f>
        <v>0</v>
      </c>
    </row>
    <row r="1997" spans="1:10" ht="12" customHeight="1">
      <c r="A1997" s="13" t="s">
        <v>6590</v>
      </c>
      <c r="B1997" s="13" t="s">
        <v>6591</v>
      </c>
      <c r="C1997" s="13" t="s">
        <v>143</v>
      </c>
      <c r="D1997" s="13" t="s">
        <v>87</v>
      </c>
      <c r="E1997" s="13" t="s">
        <v>93</v>
      </c>
      <c r="F1997" s="13" t="s">
        <v>6592</v>
      </c>
      <c r="G1997" s="20" t="str">
        <f>HYPERLINK("https://semena-nn.ru/catalog/46/999000013202","Фото")</f>
        <v>Фото</v>
      </c>
      <c r="H1997" s="19">
        <v>25.95</v>
      </c>
      <c r="I1997" s="27"/>
      <c r="J1997" s="13">
        <f>H1997*I1997</f>
        <v>0</v>
      </c>
    </row>
    <row r="1998" spans="1:10" ht="12" customHeight="1">
      <c r="A1998" s="13" t="s">
        <v>1809</v>
      </c>
      <c r="B1998" s="13" t="s">
        <v>1810</v>
      </c>
      <c r="C1998" s="13" t="s">
        <v>143</v>
      </c>
      <c r="D1998" s="13" t="s">
        <v>697</v>
      </c>
      <c r="E1998" s="13" t="s">
        <v>93</v>
      </c>
      <c r="F1998" s="13" t="s">
        <v>1811</v>
      </c>
      <c r="G1998" s="20" t="str">
        <f>HYPERLINK("http://semena-nn.ru/catalog/46/4071","Фото")</f>
        <v>Фото</v>
      </c>
      <c r="H1998" s="18">
        <v>19.899999999999999</v>
      </c>
      <c r="I1998" s="27"/>
      <c r="J1998" s="13">
        <f>H1998*I1998</f>
        <v>0</v>
      </c>
    </row>
    <row r="1999" spans="1:10" ht="12" customHeight="1">
      <c r="A1999" s="13" t="s">
        <v>8445</v>
      </c>
      <c r="B1999" s="13" t="s">
        <v>8446</v>
      </c>
      <c r="C1999" s="13" t="s">
        <v>143</v>
      </c>
      <c r="D1999" s="13" t="s">
        <v>8317</v>
      </c>
      <c r="E1999" s="13" t="s">
        <v>93</v>
      </c>
      <c r="F1999" s="13" t="s">
        <v>8447</v>
      </c>
      <c r="G1999" s="20" t="str">
        <f>HYPERLINK("https://semena-nn.ru/catalog/46/999000021430","Фото")</f>
        <v>Фото</v>
      </c>
      <c r="H1999" s="18">
        <v>154.4</v>
      </c>
      <c r="I1999" s="27"/>
      <c r="J1999" s="13">
        <f>H1999*I1999</f>
        <v>0</v>
      </c>
    </row>
    <row r="2000" spans="1:10" ht="12" customHeight="1">
      <c r="A2000" s="13" t="s">
        <v>7113</v>
      </c>
      <c r="B2000" s="13" t="s">
        <v>7114</v>
      </c>
      <c r="C2000" s="13" t="s">
        <v>143</v>
      </c>
      <c r="D2000" s="13" t="s">
        <v>6927</v>
      </c>
      <c r="E2000" s="13" t="s">
        <v>93</v>
      </c>
      <c r="F2000" s="13" t="s">
        <v>7115</v>
      </c>
      <c r="G2000" s="20" t="str">
        <f>HYPERLINK("https://semena-nn.ru/catalog/46/999000000818","Фото")</f>
        <v>Фото</v>
      </c>
      <c r="H2000" s="18">
        <v>38.5</v>
      </c>
      <c r="I2000" s="27"/>
      <c r="J2000" s="13">
        <f>H2000*I2000</f>
        <v>0</v>
      </c>
    </row>
    <row r="2001" spans="1:10" ht="12" customHeight="1">
      <c r="A2001" s="13" t="s">
        <v>8938</v>
      </c>
      <c r="B2001" s="13" t="s">
        <v>8939</v>
      </c>
      <c r="C2001" s="13" t="s">
        <v>143</v>
      </c>
      <c r="D2001" s="13" t="s">
        <v>8717</v>
      </c>
      <c r="E2001" s="13" t="s">
        <v>93</v>
      </c>
      <c r="F2001" s="13" t="s">
        <v>8940</v>
      </c>
      <c r="G2001" s="20" t="str">
        <f>HYPERLINK("http://semena-nn.ru/catalog/46/999000003709","Фото")</f>
        <v>Фото</v>
      </c>
      <c r="H2001" s="18">
        <v>28.3</v>
      </c>
      <c r="I2001" s="27"/>
      <c r="J2001" s="13">
        <f>H2001*I2001</f>
        <v>0</v>
      </c>
    </row>
    <row r="2002" spans="1:10" ht="12" customHeight="1">
      <c r="A2002" s="13" t="s">
        <v>8941</v>
      </c>
      <c r="B2002" s="13" t="s">
        <v>8942</v>
      </c>
      <c r="C2002" s="13" t="s">
        <v>143</v>
      </c>
      <c r="D2002" s="13" t="s">
        <v>8717</v>
      </c>
      <c r="E2002" s="13" t="s">
        <v>93</v>
      </c>
      <c r="F2002" s="13" t="s">
        <v>8943</v>
      </c>
      <c r="G2002" s="20" t="str">
        <f>HYPERLINK("https://semena-nn.ru/catalog/46/999000000685","Фото")</f>
        <v>Фото</v>
      </c>
      <c r="H2002" s="18">
        <v>28.3</v>
      </c>
      <c r="I2002" s="27"/>
      <c r="J2002" s="13">
        <f>H2002*I2002</f>
        <v>0</v>
      </c>
    </row>
    <row r="2003" spans="1:10" ht="12" customHeight="1">
      <c r="A2003" s="13" t="s">
        <v>5965</v>
      </c>
      <c r="B2003" s="13" t="s">
        <v>5966</v>
      </c>
      <c r="C2003" s="13" t="s">
        <v>143</v>
      </c>
      <c r="D2003" s="13" t="s">
        <v>5834</v>
      </c>
      <c r="E2003" s="13" t="s">
        <v>93</v>
      </c>
      <c r="F2003" s="13" t="s">
        <v>5967</v>
      </c>
      <c r="G2003" s="20" t="str">
        <f>HYPERLINK("https://semena-nn.ru/catalog/46/888000001577","Фото")</f>
        <v>Фото</v>
      </c>
      <c r="H2003" s="19">
        <v>18.170000000000002</v>
      </c>
      <c r="I2003" s="27"/>
      <c r="J2003" s="13">
        <f>H2003*I2003</f>
        <v>0</v>
      </c>
    </row>
    <row r="2004" spans="1:10" ht="12" customHeight="1">
      <c r="A2004" s="13" t="s">
        <v>5530</v>
      </c>
      <c r="B2004" s="13" t="s">
        <v>5531</v>
      </c>
      <c r="C2004" s="13" t="s">
        <v>143</v>
      </c>
      <c r="D2004" s="13" t="s">
        <v>5136</v>
      </c>
      <c r="E2004" s="13" t="s">
        <v>93</v>
      </c>
      <c r="F2004" s="13" t="s">
        <v>5532</v>
      </c>
      <c r="G2004" s="20" t="str">
        <f>HYPERLINK("https://semena-nn.ru/catalog/46/999000019919","Фото")</f>
        <v>Фото</v>
      </c>
      <c r="H2004" s="15">
        <v>56</v>
      </c>
      <c r="I2004" s="27"/>
      <c r="J2004" s="13">
        <f>H2004*I2004</f>
        <v>0</v>
      </c>
    </row>
    <row r="2005" spans="1:10" ht="12" customHeight="1">
      <c r="A2005" s="13" t="s">
        <v>175</v>
      </c>
      <c r="B2005" s="13" t="s">
        <v>176</v>
      </c>
      <c r="C2005" s="13" t="s">
        <v>143</v>
      </c>
      <c r="D2005" s="13" t="s">
        <v>92</v>
      </c>
      <c r="E2005" s="13" t="s">
        <v>93</v>
      </c>
      <c r="F2005" s="13" t="s">
        <v>177</v>
      </c>
      <c r="G2005" s="20" t="str">
        <f>HYPERLINK("https://semena-nn.ru/catalog/46/888000000201","Фото")</f>
        <v>Фото</v>
      </c>
      <c r="H2005" s="18">
        <v>46.4</v>
      </c>
      <c r="I2005" s="27"/>
      <c r="J2005" s="13">
        <f>H2005*I2005</f>
        <v>0</v>
      </c>
    </row>
    <row r="2006" spans="1:10" ht="12" customHeight="1">
      <c r="A2006" s="13" t="s">
        <v>7620</v>
      </c>
      <c r="B2006" s="13" t="s">
        <v>7621</v>
      </c>
      <c r="C2006" s="13" t="s">
        <v>143</v>
      </c>
      <c r="D2006" s="13" t="s">
        <v>7148</v>
      </c>
      <c r="E2006" s="13" t="s">
        <v>93</v>
      </c>
      <c r="F2006" s="13" t="s">
        <v>7622</v>
      </c>
      <c r="G2006" s="20" t="str">
        <f>HYPERLINK("https://semena-nn.ru/catalog/46/999000008558","Фото")</f>
        <v>Фото</v>
      </c>
      <c r="H2006" s="19">
        <v>115.95</v>
      </c>
      <c r="I2006" s="27"/>
      <c r="J2006" s="13">
        <f>H2006*I2006</f>
        <v>0</v>
      </c>
    </row>
    <row r="2007" spans="1:10" ht="12" customHeight="1">
      <c r="A2007" s="13" t="s">
        <v>8448</v>
      </c>
      <c r="B2007" s="13" t="s">
        <v>8449</v>
      </c>
      <c r="C2007" s="13" t="s">
        <v>143</v>
      </c>
      <c r="D2007" s="13" t="s">
        <v>8317</v>
      </c>
      <c r="E2007" s="13" t="s">
        <v>93</v>
      </c>
      <c r="F2007" s="13" t="s">
        <v>8450</v>
      </c>
      <c r="G2007" s="20" t="str">
        <f>HYPERLINK("https://semena-nn.ru/catalog/46/1298408","Фото")</f>
        <v>Фото</v>
      </c>
      <c r="H2007" s="18">
        <v>82.7</v>
      </c>
      <c r="I2007" s="27"/>
      <c r="J2007" s="13">
        <f>H2007*I2007</f>
        <v>0</v>
      </c>
    </row>
    <row r="2008" spans="1:10" ht="12" customHeight="1">
      <c r="A2008" s="13" t="s">
        <v>7623</v>
      </c>
      <c r="B2008" s="13" t="s">
        <v>7624</v>
      </c>
      <c r="C2008" s="13" t="s">
        <v>143</v>
      </c>
      <c r="D2008" s="13" t="s">
        <v>7148</v>
      </c>
      <c r="E2008" s="13" t="s">
        <v>93</v>
      </c>
      <c r="F2008" s="13" t="s">
        <v>7625</v>
      </c>
      <c r="G2008" s="20" t="str">
        <f>HYPERLINK("https://semena-nn.ru/catalog/46/888000001626","Фото")</f>
        <v>Фото</v>
      </c>
      <c r="H2008" s="18">
        <v>146.19999999999999</v>
      </c>
      <c r="I2008" s="27"/>
      <c r="J2008" s="13">
        <f>H2008*I2008</f>
        <v>0</v>
      </c>
    </row>
    <row r="2009" spans="1:10" ht="12" customHeight="1">
      <c r="A2009" s="13" t="s">
        <v>8222</v>
      </c>
      <c r="B2009" s="13" t="s">
        <v>8223</v>
      </c>
      <c r="C2009" s="13" t="s">
        <v>143</v>
      </c>
      <c r="D2009" s="13" t="s">
        <v>7728</v>
      </c>
      <c r="E2009" s="13" t="s">
        <v>93</v>
      </c>
      <c r="F2009" s="13" t="s">
        <v>8224</v>
      </c>
      <c r="G2009" s="20" t="str">
        <f>HYPERLINK("https://semena-nn.ru/catalog/46/999000020379","Фото")</f>
        <v>Фото</v>
      </c>
      <c r="H2009" s="18">
        <v>34.799999999999997</v>
      </c>
      <c r="I2009" s="27"/>
      <c r="J2009" s="13">
        <f>H2009*I2009</f>
        <v>0</v>
      </c>
    </row>
    <row r="2010" spans="1:10" ht="12" customHeight="1">
      <c r="A2010" s="13" t="s">
        <v>8225</v>
      </c>
      <c r="B2010" s="13" t="s">
        <v>8226</v>
      </c>
      <c r="C2010" s="13" t="s">
        <v>143</v>
      </c>
      <c r="D2010" s="13" t="s">
        <v>7728</v>
      </c>
      <c r="E2010" s="13" t="s">
        <v>93</v>
      </c>
      <c r="F2010" s="13" t="s">
        <v>8227</v>
      </c>
      <c r="G2010" s="20" t="str">
        <f>HYPERLINK("https://semena-nn.ru/catalog/46/999000020380","Фото")</f>
        <v>Фото</v>
      </c>
      <c r="H2010" s="18">
        <v>64.599999999999994</v>
      </c>
      <c r="I2010" s="27"/>
      <c r="J2010" s="13">
        <f>H2010*I2010</f>
        <v>0</v>
      </c>
    </row>
    <row r="2011" spans="1:10" ht="12" customHeight="1">
      <c r="A2011" s="13" t="s">
        <v>8228</v>
      </c>
      <c r="B2011" s="13" t="s">
        <v>8229</v>
      </c>
      <c r="C2011" s="13" t="s">
        <v>143</v>
      </c>
      <c r="D2011" s="13" t="s">
        <v>7728</v>
      </c>
      <c r="E2011" s="13" t="s">
        <v>93</v>
      </c>
      <c r="F2011" s="13" t="s">
        <v>8230</v>
      </c>
      <c r="G2011" s="20" t="str">
        <f>HYPERLINK("https://semena-nn.ru/catalog/46/999000020381","Фото")</f>
        <v>Фото</v>
      </c>
      <c r="H2011" s="15">
        <v>56</v>
      </c>
      <c r="I2011" s="27"/>
      <c r="J2011" s="13">
        <f>H2011*I2011</f>
        <v>0</v>
      </c>
    </row>
    <row r="2012" spans="1:10" ht="12" customHeight="1">
      <c r="A2012" s="13" t="s">
        <v>8231</v>
      </c>
      <c r="B2012" s="13" t="s">
        <v>8232</v>
      </c>
      <c r="C2012" s="13" t="s">
        <v>143</v>
      </c>
      <c r="D2012" s="13" t="s">
        <v>7728</v>
      </c>
      <c r="E2012" s="13" t="s">
        <v>93</v>
      </c>
      <c r="F2012" s="13" t="s">
        <v>8233</v>
      </c>
      <c r="G2012" s="20" t="str">
        <f>HYPERLINK("https://semena-nn.ru/catalog/46/999000020382","Фото")</f>
        <v>Фото</v>
      </c>
      <c r="H2012" s="15">
        <v>56</v>
      </c>
      <c r="I2012" s="27"/>
      <c r="J2012" s="13">
        <f>H2012*I2012</f>
        <v>0</v>
      </c>
    </row>
    <row r="2013" spans="1:10" ht="12" customHeight="1">
      <c r="A2013" s="13" t="s">
        <v>8234</v>
      </c>
      <c r="B2013" s="13" t="s">
        <v>8235</v>
      </c>
      <c r="C2013" s="13" t="s">
        <v>143</v>
      </c>
      <c r="D2013" s="13" t="s">
        <v>7728</v>
      </c>
      <c r="E2013" s="13" t="s">
        <v>93</v>
      </c>
      <c r="F2013" s="13" t="s">
        <v>8236</v>
      </c>
      <c r="G2013" s="20" t="str">
        <f>HYPERLINK("https://semena-nn.ru/catalog/46/999000020383","Фото")</f>
        <v>Фото</v>
      </c>
      <c r="H2013" s="15">
        <v>56</v>
      </c>
      <c r="I2013" s="27"/>
      <c r="J2013" s="13">
        <f>H2013*I2013</f>
        <v>0</v>
      </c>
    </row>
    <row r="2014" spans="1:10" ht="12" customHeight="1">
      <c r="A2014" s="13" t="s">
        <v>8237</v>
      </c>
      <c r="B2014" s="13" t="s">
        <v>8238</v>
      </c>
      <c r="C2014" s="13" t="s">
        <v>143</v>
      </c>
      <c r="D2014" s="13" t="s">
        <v>7728</v>
      </c>
      <c r="E2014" s="13" t="s">
        <v>93</v>
      </c>
      <c r="F2014" s="13" t="s">
        <v>8239</v>
      </c>
      <c r="G2014" s="20" t="str">
        <f>HYPERLINK("https://semena-nn.ru/catalog/46/999000020739","Фото")</f>
        <v>Фото</v>
      </c>
      <c r="H2014" s="15">
        <v>56</v>
      </c>
      <c r="I2014" s="27"/>
      <c r="J2014" s="13">
        <f>H2014*I2014</f>
        <v>0</v>
      </c>
    </row>
    <row r="2015" spans="1:10" ht="12" customHeight="1">
      <c r="A2015" s="13" t="s">
        <v>8240</v>
      </c>
      <c r="B2015" s="13" t="s">
        <v>8241</v>
      </c>
      <c r="C2015" s="13" t="s">
        <v>143</v>
      </c>
      <c r="D2015" s="13" t="s">
        <v>7728</v>
      </c>
      <c r="E2015" s="13" t="s">
        <v>93</v>
      </c>
      <c r="F2015" s="13" t="s">
        <v>8242</v>
      </c>
      <c r="G2015" s="20" t="str">
        <f>HYPERLINK("https://semena-nn.ru/catalog/46/999000020740","Фото")</f>
        <v>Фото</v>
      </c>
      <c r="H2015" s="15">
        <v>56</v>
      </c>
      <c r="I2015" s="27"/>
      <c r="J2015" s="13">
        <f>H2015*I2015</f>
        <v>0</v>
      </c>
    </row>
    <row r="2016" spans="1:10" ht="12" customHeight="1">
      <c r="A2016" s="13" t="s">
        <v>7626</v>
      </c>
      <c r="B2016" s="13" t="s">
        <v>7627</v>
      </c>
      <c r="C2016" s="13" t="s">
        <v>143</v>
      </c>
      <c r="D2016" s="13" t="s">
        <v>7148</v>
      </c>
      <c r="E2016" s="13" t="s">
        <v>93</v>
      </c>
      <c r="F2016" s="13" t="s">
        <v>7628</v>
      </c>
      <c r="G2016" s="20" t="str">
        <f>HYPERLINK("http://semena-nn.ru/catalog/46/1314246","Фото")</f>
        <v>Фото</v>
      </c>
      <c r="H2016" s="18">
        <v>79.400000000000006</v>
      </c>
      <c r="I2016" s="27"/>
      <c r="J2016" s="13">
        <f>H2016*I2016</f>
        <v>0</v>
      </c>
    </row>
    <row r="2017" spans="1:10" ht="12" customHeight="1">
      <c r="A2017" s="13" t="s">
        <v>8243</v>
      </c>
      <c r="B2017" s="13" t="s">
        <v>8244</v>
      </c>
      <c r="C2017" s="13" t="s">
        <v>143</v>
      </c>
      <c r="D2017" s="13" t="s">
        <v>7728</v>
      </c>
      <c r="E2017" s="13" t="s">
        <v>93</v>
      </c>
      <c r="F2017" s="13" t="s">
        <v>8245</v>
      </c>
      <c r="G2017" s="20" t="str">
        <f>HYPERLINK("https://semena-nn.ru/catalog/46/888000001007","Фото")</f>
        <v>Фото</v>
      </c>
      <c r="H2017" s="18">
        <v>23.6</v>
      </c>
      <c r="I2017" s="27"/>
      <c r="J2017" s="13">
        <f>H2017*I2017</f>
        <v>0</v>
      </c>
    </row>
    <row r="2018" spans="1:10" ht="12" customHeight="1">
      <c r="A2018" s="13" t="s">
        <v>8246</v>
      </c>
      <c r="B2018" s="13" t="s">
        <v>8247</v>
      </c>
      <c r="C2018" s="13" t="s">
        <v>143</v>
      </c>
      <c r="D2018" s="13" t="s">
        <v>7728</v>
      </c>
      <c r="E2018" s="13" t="s">
        <v>93</v>
      </c>
      <c r="F2018" s="13" t="s">
        <v>8248</v>
      </c>
      <c r="G2018" s="20" t="str">
        <f>HYPERLINK("https://semena-nn.ru/catalog/46/999000020385","Фото")</f>
        <v>Фото</v>
      </c>
      <c r="H2018" s="18">
        <v>64.400000000000006</v>
      </c>
      <c r="I2018" s="27"/>
      <c r="J2018" s="13">
        <f>H2018*I2018</f>
        <v>0</v>
      </c>
    </row>
    <row r="2019" spans="1:10" ht="12" customHeight="1">
      <c r="A2019" s="13" t="s">
        <v>8249</v>
      </c>
      <c r="B2019" s="13" t="s">
        <v>8250</v>
      </c>
      <c r="C2019" s="13" t="s">
        <v>143</v>
      </c>
      <c r="D2019" s="13" t="s">
        <v>7728</v>
      </c>
      <c r="E2019" s="13" t="s">
        <v>93</v>
      </c>
      <c r="F2019" s="13" t="s">
        <v>8251</v>
      </c>
      <c r="G2019" s="20" t="str">
        <f>HYPERLINK("https://semena-nn.ru/catalog/46/999000020386","Фото")</f>
        <v>Фото</v>
      </c>
      <c r="H2019" s="18">
        <v>64.400000000000006</v>
      </c>
      <c r="I2019" s="27"/>
      <c r="J2019" s="13">
        <f>H2019*I2019</f>
        <v>0</v>
      </c>
    </row>
    <row r="2020" spans="1:10" ht="12" customHeight="1">
      <c r="A2020" s="13" t="s">
        <v>8641</v>
      </c>
      <c r="B2020" s="13" t="s">
        <v>8642</v>
      </c>
      <c r="C2020" s="13" t="s">
        <v>143</v>
      </c>
      <c r="D2020" s="13" t="s">
        <v>8498</v>
      </c>
      <c r="E2020" s="13" t="s">
        <v>93</v>
      </c>
      <c r="F2020" s="17" t="s">
        <v>8643</v>
      </c>
      <c r="G2020" s="20" t="str">
        <f>HYPERLINK("https://semena-nn.ru/catalog/46/999000007957","Фото")</f>
        <v>Фото</v>
      </c>
      <c r="H2020" s="18">
        <v>17.5</v>
      </c>
      <c r="I2020" s="27"/>
      <c r="J2020" s="13">
        <f>H2020*I2020</f>
        <v>0</v>
      </c>
    </row>
    <row r="2021" spans="1:10" ht="12" customHeight="1">
      <c r="A2021" s="13" t="s">
        <v>1812</v>
      </c>
      <c r="B2021" s="13" t="s">
        <v>1813</v>
      </c>
      <c r="C2021" s="13" t="s">
        <v>143</v>
      </c>
      <c r="D2021" s="13" t="s">
        <v>697</v>
      </c>
      <c r="E2021" s="13" t="s">
        <v>93</v>
      </c>
      <c r="F2021" s="13" t="s">
        <v>1814</v>
      </c>
      <c r="G2021" s="20" t="str">
        <f>HYPERLINK("http://semena-nn.ru/catalog/46/96436","Фото")</f>
        <v>Фото</v>
      </c>
      <c r="H2021" s="18">
        <v>23.1</v>
      </c>
      <c r="I2021" s="27"/>
      <c r="J2021" s="13">
        <f>H2021*I2021</f>
        <v>0</v>
      </c>
    </row>
    <row r="2022" spans="1:10" ht="12" customHeight="1">
      <c r="A2022" s="13" t="s">
        <v>7629</v>
      </c>
      <c r="B2022" s="13" t="s">
        <v>7630</v>
      </c>
      <c r="C2022" s="13" t="s">
        <v>143</v>
      </c>
      <c r="D2022" s="13" t="s">
        <v>7148</v>
      </c>
      <c r="E2022" s="13" t="s">
        <v>93</v>
      </c>
      <c r="F2022" s="13" t="s">
        <v>7631</v>
      </c>
      <c r="G2022" s="20" t="str">
        <f>HYPERLINK("https://semena-nn.ru/catalog/46/999000005875","Фото")</f>
        <v>Фото</v>
      </c>
      <c r="H2022" s="18">
        <v>171.4</v>
      </c>
      <c r="I2022" s="27"/>
      <c r="J2022" s="13">
        <f>H2022*I2022</f>
        <v>0</v>
      </c>
    </row>
    <row r="2023" spans="1:10" ht="12" customHeight="1">
      <c r="A2023" s="13" t="s">
        <v>5968</v>
      </c>
      <c r="B2023" s="13" t="s">
        <v>5969</v>
      </c>
      <c r="C2023" s="13" t="s">
        <v>143</v>
      </c>
      <c r="D2023" s="13" t="s">
        <v>5834</v>
      </c>
      <c r="E2023" s="13" t="s">
        <v>93</v>
      </c>
      <c r="F2023" s="13" t="s">
        <v>5970</v>
      </c>
      <c r="G2023" s="20" t="str">
        <f>HYPERLINK("https://semena-nn.ru/catalog/46/888000001578","Фото")</f>
        <v>Фото</v>
      </c>
      <c r="H2023" s="19">
        <v>16.489999999999998</v>
      </c>
      <c r="I2023" s="27"/>
      <c r="J2023" s="13">
        <f>H2023*I2023</f>
        <v>0</v>
      </c>
    </row>
    <row r="2024" spans="1:10" ht="12" customHeight="1">
      <c r="A2024" s="13" t="s">
        <v>8944</v>
      </c>
      <c r="B2024" s="13" t="s">
        <v>8945</v>
      </c>
      <c r="C2024" s="13" t="s">
        <v>143</v>
      </c>
      <c r="D2024" s="13" t="s">
        <v>8717</v>
      </c>
      <c r="E2024" s="13" t="s">
        <v>93</v>
      </c>
      <c r="F2024" s="17" t="s">
        <v>8946</v>
      </c>
      <c r="G2024" s="20" t="str">
        <f>HYPERLINK("http://semena-nn.ru/catalog/46/1315140","Фото")</f>
        <v>Фото</v>
      </c>
      <c r="H2024" s="15">
        <v>19</v>
      </c>
      <c r="I2024" s="27"/>
      <c r="J2024" s="13">
        <f>H2024*I2024</f>
        <v>0</v>
      </c>
    </row>
    <row r="2025" spans="1:10" ht="12" customHeight="1">
      <c r="A2025" s="13" t="s">
        <v>1815</v>
      </c>
      <c r="B2025" s="13" t="s">
        <v>1816</v>
      </c>
      <c r="C2025" s="13" t="s">
        <v>143</v>
      </c>
      <c r="D2025" s="13" t="s">
        <v>697</v>
      </c>
      <c r="E2025" s="13" t="s">
        <v>93</v>
      </c>
      <c r="F2025" s="13" t="s">
        <v>1817</v>
      </c>
      <c r="G2025" s="20" t="str">
        <f>HYPERLINK("https://semena-nn.ru/catalog/46/999000011016","Фото")</f>
        <v>Фото</v>
      </c>
      <c r="H2025" s="18">
        <v>29.8</v>
      </c>
      <c r="I2025" s="27"/>
      <c r="J2025" s="13">
        <f>H2025*I2025</f>
        <v>0</v>
      </c>
    </row>
    <row r="2026" spans="1:10" ht="12" customHeight="1">
      <c r="A2026" s="13" t="s">
        <v>8644</v>
      </c>
      <c r="B2026" s="13" t="s">
        <v>8645</v>
      </c>
      <c r="C2026" s="13" t="s">
        <v>143</v>
      </c>
      <c r="D2026" s="13" t="s">
        <v>8498</v>
      </c>
      <c r="E2026" s="13" t="s">
        <v>93</v>
      </c>
      <c r="F2026" s="13" t="s">
        <v>8646</v>
      </c>
      <c r="G2026" s="20" t="str">
        <f>HYPERLINK("http://semena-nn.ru/catalog/46/109259","Фото")</f>
        <v>Фото</v>
      </c>
      <c r="H2026" s="18">
        <v>25.1</v>
      </c>
      <c r="I2026" s="27"/>
      <c r="J2026" s="13">
        <f>H2026*I2026</f>
        <v>0</v>
      </c>
    </row>
    <row r="2027" spans="1:10" ht="12" customHeight="1">
      <c r="A2027" s="13" t="s">
        <v>6593</v>
      </c>
      <c r="B2027" s="13" t="s">
        <v>6594</v>
      </c>
      <c r="C2027" s="13" t="s">
        <v>143</v>
      </c>
      <c r="D2027" s="13" t="s">
        <v>87</v>
      </c>
      <c r="E2027" s="13" t="s">
        <v>93</v>
      </c>
      <c r="F2027" s="13" t="s">
        <v>6595</v>
      </c>
      <c r="G2027" s="20" t="str">
        <f>HYPERLINK("http://semena-nn.ru/catalog/46/1304180","Фото")</f>
        <v>Фото</v>
      </c>
      <c r="H2027" s="18">
        <v>23.2</v>
      </c>
      <c r="I2027" s="27"/>
      <c r="J2027" s="13">
        <f>H2027*I2027</f>
        <v>0</v>
      </c>
    </row>
    <row r="2028" spans="1:10" ht="12" customHeight="1">
      <c r="A2028" s="13" t="s">
        <v>8252</v>
      </c>
      <c r="B2028" s="13" t="s">
        <v>8253</v>
      </c>
      <c r="C2028" s="13" t="s">
        <v>143</v>
      </c>
      <c r="D2028" s="13" t="s">
        <v>7728</v>
      </c>
      <c r="E2028" s="13" t="s">
        <v>93</v>
      </c>
      <c r="F2028" s="13" t="s">
        <v>8254</v>
      </c>
      <c r="G2028" s="20" t="str">
        <f>HYPERLINK("http://semena-nn.ru/catalog/46/112042","Фото")</f>
        <v>Фото</v>
      </c>
      <c r="H2028" s="18">
        <v>32.700000000000003</v>
      </c>
      <c r="I2028" s="27"/>
      <c r="J2028" s="13">
        <f>H2028*I2028</f>
        <v>0</v>
      </c>
    </row>
    <row r="2029" spans="1:10" ht="12" customHeight="1">
      <c r="A2029" s="13" t="s">
        <v>178</v>
      </c>
      <c r="B2029" s="13" t="s">
        <v>179</v>
      </c>
      <c r="C2029" s="13" t="s">
        <v>143</v>
      </c>
      <c r="D2029" s="13" t="s">
        <v>92</v>
      </c>
      <c r="E2029" s="13" t="s">
        <v>93</v>
      </c>
      <c r="F2029" s="13" t="s">
        <v>180</v>
      </c>
      <c r="G2029" s="20" t="str">
        <f>HYPERLINK("http://semena-nn.ru/catalog/46/1303114","Фото")</f>
        <v>Фото</v>
      </c>
      <c r="H2029" s="18">
        <v>76.099999999999994</v>
      </c>
      <c r="I2029" s="27"/>
      <c r="J2029" s="13">
        <f>H2029*I2029</f>
        <v>0</v>
      </c>
    </row>
    <row r="2030" spans="1:10" ht="12" customHeight="1">
      <c r="A2030" s="13" t="s">
        <v>535</v>
      </c>
      <c r="B2030" s="13" t="s">
        <v>536</v>
      </c>
      <c r="C2030" s="13" t="s">
        <v>143</v>
      </c>
      <c r="D2030" s="13" t="s">
        <v>28</v>
      </c>
      <c r="E2030" s="13" t="s">
        <v>93</v>
      </c>
      <c r="F2030" s="13" t="s">
        <v>537</v>
      </c>
      <c r="G2030" s="20" t="str">
        <f>HYPERLINK("https://semena-nn.ru/catalog/46/999000011986","Фото")</f>
        <v>Фото</v>
      </c>
      <c r="H2030" s="19">
        <v>30.14</v>
      </c>
      <c r="I2030" s="27"/>
      <c r="J2030" s="13">
        <f>H2030*I2030</f>
        <v>0</v>
      </c>
    </row>
    <row r="2031" spans="1:10" ht="12" customHeight="1">
      <c r="A2031" s="13" t="s">
        <v>5107</v>
      </c>
      <c r="B2031" s="13" t="s">
        <v>5108</v>
      </c>
      <c r="C2031" s="13" t="s">
        <v>143</v>
      </c>
      <c r="D2031" s="13" t="s">
        <v>5045</v>
      </c>
      <c r="E2031" s="13" t="s">
        <v>93</v>
      </c>
      <c r="F2031" s="13" t="s">
        <v>5109</v>
      </c>
      <c r="G2031" s="20" t="str">
        <f>HYPERLINK("http://semena-nn.ru/catalog/46/92931","Фото")</f>
        <v>Фото</v>
      </c>
      <c r="H2031" s="18">
        <v>31.5</v>
      </c>
      <c r="I2031" s="27"/>
      <c r="J2031" s="13">
        <f>H2031*I2031</f>
        <v>0</v>
      </c>
    </row>
    <row r="2032" spans="1:10" ht="12" customHeight="1">
      <c r="A2032" s="13" t="s">
        <v>8451</v>
      </c>
      <c r="B2032" s="13" t="s">
        <v>8452</v>
      </c>
      <c r="C2032" s="13" t="s">
        <v>143</v>
      </c>
      <c r="D2032" s="13" t="s">
        <v>8317</v>
      </c>
      <c r="E2032" s="13" t="s">
        <v>93</v>
      </c>
      <c r="F2032" s="13" t="s">
        <v>8453</v>
      </c>
      <c r="G2032" s="20" t="str">
        <f>HYPERLINK("http://semena-nn.ru/catalog/46/1298406","Фото")</f>
        <v>Фото</v>
      </c>
      <c r="H2032" s="18">
        <v>71.7</v>
      </c>
      <c r="I2032" s="27"/>
      <c r="J2032" s="13">
        <f>H2032*I2032</f>
        <v>0</v>
      </c>
    </row>
    <row r="2033" spans="1:10" ht="12" customHeight="1">
      <c r="A2033" s="13" t="s">
        <v>8454</v>
      </c>
      <c r="B2033" s="13" t="s">
        <v>8455</v>
      </c>
      <c r="C2033" s="13" t="s">
        <v>143</v>
      </c>
      <c r="D2033" s="13" t="s">
        <v>8317</v>
      </c>
      <c r="E2033" s="13" t="s">
        <v>93</v>
      </c>
      <c r="F2033" s="13" t="s">
        <v>8456</v>
      </c>
      <c r="G2033" s="20" t="str">
        <f>HYPERLINK("http://semena-nn.ru/catalog/46/1298411","Фото")</f>
        <v>Фото</v>
      </c>
      <c r="H2033" s="18">
        <v>77.2</v>
      </c>
      <c r="I2033" s="27"/>
      <c r="J2033" s="13">
        <f>H2033*I2033</f>
        <v>0</v>
      </c>
    </row>
    <row r="2034" spans="1:10" ht="12" customHeight="1">
      <c r="A2034" s="13" t="s">
        <v>8457</v>
      </c>
      <c r="B2034" s="13" t="s">
        <v>8458</v>
      </c>
      <c r="C2034" s="13" t="s">
        <v>143</v>
      </c>
      <c r="D2034" s="13" t="s">
        <v>8317</v>
      </c>
      <c r="E2034" s="13" t="s">
        <v>93</v>
      </c>
      <c r="F2034" s="13" t="s">
        <v>8459</v>
      </c>
      <c r="G2034" s="20" t="str">
        <f>HYPERLINK("http://semena-nn.ru/catalog/46/1310168","Фото")</f>
        <v>Фото</v>
      </c>
      <c r="H2034" s="18">
        <v>121.3</v>
      </c>
      <c r="I2034" s="27"/>
      <c r="J2034" s="13">
        <f>H2034*I2034</f>
        <v>0</v>
      </c>
    </row>
    <row r="2035" spans="1:10" ht="12" customHeight="1">
      <c r="A2035" s="13" t="s">
        <v>8460</v>
      </c>
      <c r="B2035" s="13" t="s">
        <v>8461</v>
      </c>
      <c r="C2035" s="13" t="s">
        <v>143</v>
      </c>
      <c r="D2035" s="13" t="s">
        <v>8317</v>
      </c>
      <c r="E2035" s="13" t="s">
        <v>93</v>
      </c>
      <c r="F2035" s="13" t="s">
        <v>8462</v>
      </c>
      <c r="G2035" s="20" t="str">
        <f>HYPERLINK("https://semena-nn.ru/catalog/46/999000021421","Фото")</f>
        <v>Фото</v>
      </c>
      <c r="H2035" s="19">
        <v>66.150000000000006</v>
      </c>
      <c r="I2035" s="27"/>
      <c r="J2035" s="13">
        <f>H2035*I2035</f>
        <v>0</v>
      </c>
    </row>
    <row r="2036" spans="1:10" ht="12" customHeight="1">
      <c r="A2036" s="13" t="s">
        <v>8463</v>
      </c>
      <c r="B2036" s="13" t="s">
        <v>8464</v>
      </c>
      <c r="C2036" s="13" t="s">
        <v>143</v>
      </c>
      <c r="D2036" s="13" t="s">
        <v>8317</v>
      </c>
      <c r="E2036" s="13" t="s">
        <v>93</v>
      </c>
      <c r="F2036" s="13" t="s">
        <v>8465</v>
      </c>
      <c r="G2036" s="20" t="str">
        <f>HYPERLINK("http://semena-nn.ru/catalog/46/1298407","Фото")</f>
        <v>Фото</v>
      </c>
      <c r="H2036" s="19">
        <v>66.150000000000006</v>
      </c>
      <c r="I2036" s="27"/>
      <c r="J2036" s="13">
        <f>H2036*I2036</f>
        <v>0</v>
      </c>
    </row>
    <row r="2037" spans="1:10" ht="12" customHeight="1">
      <c r="A2037" s="13" t="s">
        <v>8255</v>
      </c>
      <c r="B2037" s="13" t="s">
        <v>8256</v>
      </c>
      <c r="C2037" s="13" t="s">
        <v>143</v>
      </c>
      <c r="D2037" s="13" t="s">
        <v>7728</v>
      </c>
      <c r="E2037" s="13" t="s">
        <v>93</v>
      </c>
      <c r="F2037" s="13" t="s">
        <v>8257</v>
      </c>
      <c r="G2037" s="20" t="str">
        <f>HYPERLINK("https://semena-nn.ru/catalog/46/1291378","Фото")</f>
        <v>Фото</v>
      </c>
      <c r="H2037" s="18">
        <v>34.200000000000003</v>
      </c>
      <c r="I2037" s="27"/>
      <c r="J2037" s="13">
        <f>H2037*I2037</f>
        <v>0</v>
      </c>
    </row>
    <row r="2038" spans="1:10" ht="12" customHeight="1">
      <c r="A2038" s="13" t="s">
        <v>1818</v>
      </c>
      <c r="B2038" s="13" t="s">
        <v>1819</v>
      </c>
      <c r="C2038" s="13" t="s">
        <v>143</v>
      </c>
      <c r="D2038" s="13" t="s">
        <v>697</v>
      </c>
      <c r="E2038" s="13" t="s">
        <v>93</v>
      </c>
      <c r="F2038" s="13" t="s">
        <v>1820</v>
      </c>
      <c r="G2038" s="20" t="str">
        <f>HYPERLINK("https://semena-nn.ru/catalog/46/999000012070","Фото")</f>
        <v>Фото</v>
      </c>
      <c r="H2038" s="18">
        <v>21.3</v>
      </c>
      <c r="I2038" s="27"/>
      <c r="J2038" s="13">
        <f>H2038*I2038</f>
        <v>0</v>
      </c>
    </row>
    <row r="2039" spans="1:10" ht="12" customHeight="1">
      <c r="A2039" s="13" t="s">
        <v>8647</v>
      </c>
      <c r="B2039" s="13" t="s">
        <v>8648</v>
      </c>
      <c r="C2039" s="13" t="s">
        <v>143</v>
      </c>
      <c r="D2039" s="13" t="s">
        <v>8498</v>
      </c>
      <c r="E2039" s="13" t="s">
        <v>93</v>
      </c>
      <c r="F2039" s="13" t="s">
        <v>8649</v>
      </c>
      <c r="G2039" s="20" t="str">
        <f>HYPERLINK("http://semena-nn.ru/catalog/46/999000007308","Фото")</f>
        <v>Фото</v>
      </c>
      <c r="H2039" s="19">
        <v>29.65</v>
      </c>
      <c r="I2039" s="27"/>
      <c r="J2039" s="13">
        <f>H2039*I2039</f>
        <v>0</v>
      </c>
    </row>
    <row r="2040" spans="1:10" ht="12" customHeight="1">
      <c r="A2040" s="13" t="s">
        <v>538</v>
      </c>
      <c r="B2040" s="13" t="s">
        <v>539</v>
      </c>
      <c r="C2040" s="13" t="s">
        <v>143</v>
      </c>
      <c r="D2040" s="13" t="s">
        <v>28</v>
      </c>
      <c r="E2040" s="13" t="s">
        <v>93</v>
      </c>
      <c r="F2040" s="13" t="s">
        <v>540</v>
      </c>
      <c r="G2040" s="20" t="str">
        <f>HYPERLINK("https://semena-nn.ru/catalog/46/999000009736","Фото")</f>
        <v>Фото</v>
      </c>
      <c r="H2040" s="19">
        <v>63.53</v>
      </c>
      <c r="I2040" s="27"/>
      <c r="J2040" s="13">
        <f>H2040*I2040</f>
        <v>0</v>
      </c>
    </row>
    <row r="2041" spans="1:10" ht="12" customHeight="1">
      <c r="A2041" s="13" t="s">
        <v>6290</v>
      </c>
      <c r="B2041" s="13" t="s">
        <v>6291</v>
      </c>
      <c r="C2041" s="13" t="s">
        <v>143</v>
      </c>
      <c r="D2041" s="13"/>
      <c r="E2041" s="13" t="s">
        <v>93</v>
      </c>
      <c r="F2041" s="13" t="s">
        <v>6292</v>
      </c>
      <c r="G2041" s="20" t="str">
        <f>HYPERLINK("https://semena-nn.ru/catalog/46/888000000181","Фото")</f>
        <v>Фото</v>
      </c>
      <c r="H2041" s="15">
        <v>121</v>
      </c>
      <c r="I2041" s="27"/>
      <c r="J2041" s="13">
        <f>H2041*I2041</f>
        <v>0</v>
      </c>
    </row>
    <row r="2042" spans="1:10" ht="12" customHeight="1">
      <c r="A2042" s="13" t="s">
        <v>5533</v>
      </c>
      <c r="B2042" s="13" t="s">
        <v>5534</v>
      </c>
      <c r="C2042" s="13" t="s">
        <v>143</v>
      </c>
      <c r="D2042" s="13" t="s">
        <v>5136</v>
      </c>
      <c r="E2042" s="13" t="s">
        <v>93</v>
      </c>
      <c r="F2042" s="13" t="s">
        <v>5535</v>
      </c>
      <c r="G2042" s="20" t="str">
        <f>HYPERLINK("https://semena-nn.ru/catalog/46/888000000147","Фото")</f>
        <v>Фото</v>
      </c>
      <c r="H2042" s="18">
        <v>78.5</v>
      </c>
      <c r="I2042" s="27"/>
      <c r="J2042" s="13">
        <f>H2042*I2042</f>
        <v>0</v>
      </c>
    </row>
    <row r="2043" spans="1:10" ht="12" customHeight="1">
      <c r="A2043" s="13" t="s">
        <v>541</v>
      </c>
      <c r="B2043" s="13" t="s">
        <v>542</v>
      </c>
      <c r="C2043" s="13" t="s">
        <v>143</v>
      </c>
      <c r="D2043" s="13" t="s">
        <v>28</v>
      </c>
      <c r="E2043" s="13" t="s">
        <v>93</v>
      </c>
      <c r="F2043" s="13" t="s">
        <v>543</v>
      </c>
      <c r="G2043" s="20" t="str">
        <f>HYPERLINK("https://semena-nn.ru/catalog/46/999000009737","Фото")</f>
        <v>Фото</v>
      </c>
      <c r="H2043" s="18">
        <v>25.1</v>
      </c>
      <c r="I2043" s="27"/>
      <c r="J2043" s="13">
        <f>H2043*I2043</f>
        <v>0</v>
      </c>
    </row>
    <row r="2044" spans="1:10" ht="12" customHeight="1">
      <c r="A2044" s="13" t="s">
        <v>544</v>
      </c>
      <c r="B2044" s="13" t="s">
        <v>545</v>
      </c>
      <c r="C2044" s="13" t="s">
        <v>143</v>
      </c>
      <c r="D2044" s="13" t="s">
        <v>28</v>
      </c>
      <c r="E2044" s="13" t="s">
        <v>93</v>
      </c>
      <c r="F2044" s="13" t="s">
        <v>546</v>
      </c>
      <c r="G2044" s="20" t="str">
        <f>HYPERLINK("https://semena-nn.ru/catalog/46/999000011225","Фото")</f>
        <v>Фото</v>
      </c>
      <c r="H2044" s="18">
        <v>35.6</v>
      </c>
      <c r="I2044" s="27"/>
      <c r="J2044" s="13">
        <f>H2044*I2044</f>
        <v>0</v>
      </c>
    </row>
    <row r="2045" spans="1:10" ht="12" customHeight="1">
      <c r="A2045" s="13" t="s">
        <v>8650</v>
      </c>
      <c r="B2045" s="13" t="s">
        <v>8651</v>
      </c>
      <c r="C2045" s="13" t="s">
        <v>143</v>
      </c>
      <c r="D2045" s="13" t="s">
        <v>8498</v>
      </c>
      <c r="E2045" s="13" t="s">
        <v>93</v>
      </c>
      <c r="F2045" s="13" t="s">
        <v>8652</v>
      </c>
      <c r="G2045" s="20" t="str">
        <f>HYPERLINK("http://semena-nn.ru/catalog/46/999000006068","Фото")</f>
        <v>Фото</v>
      </c>
      <c r="H2045" s="15">
        <v>32</v>
      </c>
      <c r="I2045" s="27"/>
      <c r="J2045" s="13">
        <f>H2045*I2045</f>
        <v>0</v>
      </c>
    </row>
    <row r="2046" spans="1:10" ht="12" customHeight="1">
      <c r="A2046" s="13" t="s">
        <v>547</v>
      </c>
      <c r="B2046" s="13" t="s">
        <v>548</v>
      </c>
      <c r="C2046" s="13" t="s">
        <v>143</v>
      </c>
      <c r="D2046" s="13" t="s">
        <v>28</v>
      </c>
      <c r="E2046" s="13" t="s">
        <v>93</v>
      </c>
      <c r="F2046" s="13" t="s">
        <v>549</v>
      </c>
      <c r="G2046" s="20" t="str">
        <f>HYPERLINK("https://semena-nn.ru/catalog/46/999000012955","Фото")</f>
        <v>Фото</v>
      </c>
      <c r="H2046" s="18">
        <v>24.1</v>
      </c>
      <c r="I2046" s="27"/>
      <c r="J2046" s="13">
        <f>H2046*I2046</f>
        <v>0</v>
      </c>
    </row>
    <row r="2047" spans="1:10" ht="12" customHeight="1">
      <c r="A2047" s="13" t="s">
        <v>550</v>
      </c>
      <c r="B2047" s="13" t="s">
        <v>551</v>
      </c>
      <c r="C2047" s="13" t="s">
        <v>143</v>
      </c>
      <c r="D2047" s="13" t="s">
        <v>28</v>
      </c>
      <c r="E2047" s="13" t="s">
        <v>93</v>
      </c>
      <c r="F2047" s="13" t="s">
        <v>552</v>
      </c>
      <c r="G2047" s="20" t="str">
        <f>HYPERLINK("https://semena-nn.ru/catalog/46/999000009994","Фото")</f>
        <v>Фото</v>
      </c>
      <c r="H2047" s="19">
        <v>28.88</v>
      </c>
      <c r="I2047" s="27"/>
      <c r="J2047" s="13">
        <f>H2047*I2047</f>
        <v>0</v>
      </c>
    </row>
    <row r="2048" spans="1:10" ht="12" customHeight="1">
      <c r="A2048" s="13" t="s">
        <v>1821</v>
      </c>
      <c r="B2048" s="13" t="s">
        <v>1822</v>
      </c>
      <c r="C2048" s="13" t="s">
        <v>143</v>
      </c>
      <c r="D2048" s="13" t="s">
        <v>697</v>
      </c>
      <c r="E2048" s="13" t="s">
        <v>93</v>
      </c>
      <c r="F2048" s="13" t="s">
        <v>1823</v>
      </c>
      <c r="G2048" s="20" t="str">
        <f>HYPERLINK("https://semena-nn.ru/catalog/46/999000009180","Фото")</f>
        <v>Фото</v>
      </c>
      <c r="H2048" s="18">
        <v>30.9</v>
      </c>
      <c r="I2048" s="27"/>
      <c r="J2048" s="13">
        <f>H2048*I2048</f>
        <v>0</v>
      </c>
    </row>
    <row r="2049" spans="1:10" ht="12" customHeight="1">
      <c r="A2049" s="13" t="s">
        <v>553</v>
      </c>
      <c r="B2049" s="13" t="s">
        <v>554</v>
      </c>
      <c r="C2049" s="13" t="s">
        <v>143</v>
      </c>
      <c r="D2049" s="13" t="s">
        <v>28</v>
      </c>
      <c r="E2049" s="13" t="s">
        <v>93</v>
      </c>
      <c r="F2049" s="13" t="s">
        <v>555</v>
      </c>
      <c r="G2049" s="20" t="str">
        <f>HYPERLINK("https://semena-nn.ru/catalog/46/999000011226","Фото")</f>
        <v>Фото</v>
      </c>
      <c r="H2049" s="19">
        <v>30.08</v>
      </c>
      <c r="I2049" s="27"/>
      <c r="J2049" s="13">
        <f>H2049*I2049</f>
        <v>0</v>
      </c>
    </row>
    <row r="2050" spans="1:10" ht="12" customHeight="1">
      <c r="A2050" s="13" t="s">
        <v>7632</v>
      </c>
      <c r="B2050" s="13" t="s">
        <v>7633</v>
      </c>
      <c r="C2050" s="13" t="s">
        <v>143</v>
      </c>
      <c r="D2050" s="13" t="s">
        <v>7148</v>
      </c>
      <c r="E2050" s="13" t="s">
        <v>93</v>
      </c>
      <c r="F2050" s="13" t="s">
        <v>7634</v>
      </c>
      <c r="G2050" s="20" t="str">
        <f>HYPERLINK("https://semena-nn.ru/catalog/46/999000013112","Фото")</f>
        <v>Фото</v>
      </c>
      <c r="H2050" s="18">
        <v>65.5</v>
      </c>
      <c r="I2050" s="27"/>
      <c r="J2050" s="13">
        <f>H2050*I2050</f>
        <v>0</v>
      </c>
    </row>
    <row r="2051" spans="1:10" ht="12" customHeight="1">
      <c r="A2051" s="13" t="s">
        <v>7635</v>
      </c>
      <c r="B2051" s="13" t="s">
        <v>7636</v>
      </c>
      <c r="C2051" s="13" t="s">
        <v>143</v>
      </c>
      <c r="D2051" s="13" t="s">
        <v>7148</v>
      </c>
      <c r="E2051" s="13" t="s">
        <v>93</v>
      </c>
      <c r="F2051" s="17" t="s">
        <v>7637</v>
      </c>
      <c r="G2051" s="20" t="str">
        <f>HYPERLINK("http://semena-nn.ru/catalog/46/1314248","Фото")</f>
        <v>Фото</v>
      </c>
      <c r="H2051" s="18">
        <v>65.5</v>
      </c>
      <c r="I2051" s="27"/>
      <c r="J2051" s="13">
        <f>H2051*I2051</f>
        <v>0</v>
      </c>
    </row>
    <row r="2052" spans="1:10" ht="12" customHeight="1">
      <c r="A2052" s="13" t="s">
        <v>4253</v>
      </c>
      <c r="B2052" s="13" t="s">
        <v>4254</v>
      </c>
      <c r="C2052" s="13" t="s">
        <v>143</v>
      </c>
      <c r="D2052" s="13" t="s">
        <v>3475</v>
      </c>
      <c r="E2052" s="13" t="s">
        <v>93</v>
      </c>
      <c r="F2052" s="13" t="s">
        <v>4255</v>
      </c>
      <c r="G2052" s="20" t="str">
        <f>HYPERLINK("https://semena-nn.ru/catalog/46/1310770","Фото")</f>
        <v>Фото</v>
      </c>
      <c r="H2052" s="18">
        <v>29.4</v>
      </c>
      <c r="I2052" s="27"/>
      <c r="J2052" s="13">
        <f>H2052*I2052</f>
        <v>0</v>
      </c>
    </row>
    <row r="2053" spans="1:10" ht="12" customHeight="1">
      <c r="A2053" s="13" t="s">
        <v>7638</v>
      </c>
      <c r="B2053" s="13" t="s">
        <v>7639</v>
      </c>
      <c r="C2053" s="13" t="s">
        <v>143</v>
      </c>
      <c r="D2053" s="13" t="s">
        <v>7148</v>
      </c>
      <c r="E2053" s="13" t="s">
        <v>93</v>
      </c>
      <c r="F2053" s="13" t="s">
        <v>7640</v>
      </c>
      <c r="G2053" s="20" t="str">
        <f>HYPERLINK("https://semena-nn.ru/catalog/46/999000007908","Фото")</f>
        <v>Фото</v>
      </c>
      <c r="H2053" s="15">
        <v>126</v>
      </c>
      <c r="I2053" s="27"/>
      <c r="J2053" s="13">
        <f>H2053*I2053</f>
        <v>0</v>
      </c>
    </row>
    <row r="2054" spans="1:10" ht="12" customHeight="1">
      <c r="A2054" s="13" t="s">
        <v>5536</v>
      </c>
      <c r="B2054" s="13" t="s">
        <v>5537</v>
      </c>
      <c r="C2054" s="13" t="s">
        <v>143</v>
      </c>
      <c r="D2054" s="13" t="s">
        <v>5136</v>
      </c>
      <c r="E2054" s="13" t="s">
        <v>93</v>
      </c>
      <c r="F2054" s="13" t="s">
        <v>5538</v>
      </c>
      <c r="G2054" s="20" t="str">
        <f>HYPERLINK("https://semena-nn.ru/catalog/46/999000020415","Фото")</f>
        <v>Фото</v>
      </c>
      <c r="H2054" s="18">
        <v>40.5</v>
      </c>
      <c r="I2054" s="27"/>
      <c r="J2054" s="13">
        <f>H2054*I2054</f>
        <v>0</v>
      </c>
    </row>
    <row r="2055" spans="1:10" ht="12" customHeight="1">
      <c r="A2055" s="13" t="s">
        <v>5539</v>
      </c>
      <c r="B2055" s="13" t="s">
        <v>5540</v>
      </c>
      <c r="C2055" s="13" t="s">
        <v>143</v>
      </c>
      <c r="D2055" s="13" t="s">
        <v>5136</v>
      </c>
      <c r="E2055" s="13" t="s">
        <v>93</v>
      </c>
      <c r="F2055" s="13" t="s">
        <v>5541</v>
      </c>
      <c r="G2055" s="20" t="str">
        <f>HYPERLINK("https://semena-nn.ru/catalog/46/999000013247","Фото")</f>
        <v>Фото</v>
      </c>
      <c r="H2055" s="15">
        <v>63</v>
      </c>
      <c r="I2055" s="27"/>
      <c r="J2055" s="13">
        <f>H2055*I2055</f>
        <v>0</v>
      </c>
    </row>
    <row r="2056" spans="1:10" ht="12" customHeight="1">
      <c r="A2056" s="13" t="s">
        <v>8653</v>
      </c>
      <c r="B2056" s="13" t="s">
        <v>8654</v>
      </c>
      <c r="C2056" s="13" t="s">
        <v>143</v>
      </c>
      <c r="D2056" s="13" t="s">
        <v>8498</v>
      </c>
      <c r="E2056" s="13" t="s">
        <v>93</v>
      </c>
      <c r="F2056" s="13" t="s">
        <v>8655</v>
      </c>
      <c r="G2056" s="20" t="str">
        <f>HYPERLINK("https://semena-nn.ru/catalog/46/1292050","Фото")</f>
        <v>Фото</v>
      </c>
      <c r="H2056" s="19">
        <v>18.649999999999999</v>
      </c>
      <c r="I2056" s="27"/>
      <c r="J2056" s="13">
        <f>H2056*I2056</f>
        <v>0</v>
      </c>
    </row>
    <row r="2057" spans="1:10" ht="12" customHeight="1">
      <c r="A2057" s="13" t="s">
        <v>6596</v>
      </c>
      <c r="B2057" s="13" t="s">
        <v>6597</v>
      </c>
      <c r="C2057" s="13" t="s">
        <v>143</v>
      </c>
      <c r="D2057" s="13" t="s">
        <v>87</v>
      </c>
      <c r="E2057" s="13" t="s">
        <v>93</v>
      </c>
      <c r="F2057" s="13" t="s">
        <v>6598</v>
      </c>
      <c r="G2057" s="20" t="str">
        <f>HYPERLINK("https://semena-nn.ru/catalog/46/1312026","Фото")</f>
        <v>Фото</v>
      </c>
      <c r="H2057" s="18">
        <v>26.5</v>
      </c>
      <c r="I2057" s="27"/>
      <c r="J2057" s="13">
        <f>H2057*I2057</f>
        <v>0</v>
      </c>
    </row>
    <row r="2058" spans="1:10" ht="12" customHeight="1">
      <c r="A2058" s="13" t="s">
        <v>556</v>
      </c>
      <c r="B2058" s="13" t="s">
        <v>557</v>
      </c>
      <c r="C2058" s="13" t="s">
        <v>143</v>
      </c>
      <c r="D2058" s="13" t="s">
        <v>28</v>
      </c>
      <c r="E2058" s="13" t="s">
        <v>93</v>
      </c>
      <c r="F2058" s="13" t="s">
        <v>558</v>
      </c>
      <c r="G2058" s="20" t="str">
        <f>HYPERLINK("https://semena-nn.ru/catalog/46/999000011987","Фото")</f>
        <v>Фото</v>
      </c>
      <c r="H2058" s="19">
        <v>28.88</v>
      </c>
      <c r="I2058" s="27"/>
      <c r="J2058" s="13">
        <f>H2058*I2058</f>
        <v>0</v>
      </c>
    </row>
    <row r="2059" spans="1:10" ht="12" customHeight="1">
      <c r="A2059" s="13" t="s">
        <v>7641</v>
      </c>
      <c r="B2059" s="13" t="s">
        <v>7642</v>
      </c>
      <c r="C2059" s="13" t="s">
        <v>143</v>
      </c>
      <c r="D2059" s="13" t="s">
        <v>7148</v>
      </c>
      <c r="E2059" s="13" t="s">
        <v>93</v>
      </c>
      <c r="F2059" s="13" t="s">
        <v>7643</v>
      </c>
      <c r="G2059" s="20" t="str">
        <f>HYPERLINK("https://semena-nn.ru/catalog/46/999000009529","Фото")</f>
        <v>Фото</v>
      </c>
      <c r="H2059" s="18">
        <v>95.8</v>
      </c>
      <c r="I2059" s="27"/>
      <c r="J2059" s="13">
        <f>H2059*I2059</f>
        <v>0</v>
      </c>
    </row>
    <row r="2060" spans="1:10" ht="12" customHeight="1">
      <c r="A2060" s="13" t="s">
        <v>559</v>
      </c>
      <c r="B2060" s="13" t="s">
        <v>560</v>
      </c>
      <c r="C2060" s="13" t="s">
        <v>143</v>
      </c>
      <c r="D2060" s="13" t="s">
        <v>28</v>
      </c>
      <c r="E2060" s="13" t="s">
        <v>93</v>
      </c>
      <c r="F2060" s="13" t="s">
        <v>561</v>
      </c>
      <c r="G2060" s="20" t="str">
        <f>HYPERLINK("https://semena-nn.ru/catalog/46/999000009739","Фото")</f>
        <v>Фото</v>
      </c>
      <c r="H2060" s="19">
        <v>25.15</v>
      </c>
      <c r="I2060" s="27"/>
      <c r="J2060" s="13">
        <f>H2060*I2060</f>
        <v>0</v>
      </c>
    </row>
    <row r="2061" spans="1:10" ht="12" customHeight="1">
      <c r="A2061" s="13" t="s">
        <v>5542</v>
      </c>
      <c r="B2061" s="13" t="s">
        <v>5543</v>
      </c>
      <c r="C2061" s="13" t="s">
        <v>143</v>
      </c>
      <c r="D2061" s="13" t="s">
        <v>5136</v>
      </c>
      <c r="E2061" s="13" t="s">
        <v>93</v>
      </c>
      <c r="F2061" s="13" t="s">
        <v>5544</v>
      </c>
      <c r="G2061" s="20" t="str">
        <f>HYPERLINK("https://semena-nn.ru/catalog/46/888000007562","Фото")</f>
        <v>Фото</v>
      </c>
      <c r="H2061" s="15">
        <v>57</v>
      </c>
      <c r="I2061" s="27"/>
      <c r="J2061" s="13">
        <f>H2061*I2061</f>
        <v>0</v>
      </c>
    </row>
    <row r="2062" spans="1:10" ht="12" customHeight="1">
      <c r="A2062" s="13" t="s">
        <v>5545</v>
      </c>
      <c r="B2062" s="13" t="s">
        <v>5546</v>
      </c>
      <c r="C2062" s="13" t="s">
        <v>143</v>
      </c>
      <c r="D2062" s="13" t="s">
        <v>5136</v>
      </c>
      <c r="E2062" s="13" t="s">
        <v>93</v>
      </c>
      <c r="F2062" s="13" t="s">
        <v>5547</v>
      </c>
      <c r="G2062" s="20" t="str">
        <f>HYPERLINK("https://semena-nn.ru/catalog/46/888000007451","Фото")</f>
        <v>Фото</v>
      </c>
      <c r="H2062" s="15">
        <v>57</v>
      </c>
      <c r="I2062" s="27"/>
      <c r="J2062" s="13">
        <f>H2062*I2062</f>
        <v>0</v>
      </c>
    </row>
    <row r="2063" spans="1:10" ht="12" customHeight="1">
      <c r="A2063" s="13" t="s">
        <v>562</v>
      </c>
      <c r="B2063" s="13" t="s">
        <v>563</v>
      </c>
      <c r="C2063" s="13" t="s">
        <v>143</v>
      </c>
      <c r="D2063" s="13" t="s">
        <v>28</v>
      </c>
      <c r="E2063" s="13" t="s">
        <v>93</v>
      </c>
      <c r="F2063" s="13" t="s">
        <v>564</v>
      </c>
      <c r="G2063" s="20" t="str">
        <f>HYPERLINK("https://semena-nn.ru/catalog/46/999000009740","Фото")</f>
        <v>Фото</v>
      </c>
      <c r="H2063" s="19">
        <v>26.46</v>
      </c>
      <c r="I2063" s="27"/>
      <c r="J2063" s="13">
        <f>H2063*I2063</f>
        <v>0</v>
      </c>
    </row>
    <row r="2064" spans="1:10" ht="12" customHeight="1">
      <c r="A2064" s="13" t="s">
        <v>181</v>
      </c>
      <c r="B2064" s="13" t="s">
        <v>182</v>
      </c>
      <c r="C2064" s="13" t="s">
        <v>143</v>
      </c>
      <c r="D2064" s="13" t="s">
        <v>92</v>
      </c>
      <c r="E2064" s="13" t="s">
        <v>93</v>
      </c>
      <c r="F2064" s="13" t="s">
        <v>183</v>
      </c>
      <c r="G2064" s="20" t="str">
        <f>HYPERLINK("https://semena-nn.ru/catalog/46/888000007616","Фото")</f>
        <v>Фото</v>
      </c>
      <c r="H2064" s="18">
        <v>79.400000000000006</v>
      </c>
      <c r="I2064" s="27"/>
      <c r="J2064" s="13">
        <f>H2064*I2064</f>
        <v>0</v>
      </c>
    </row>
    <row r="2065" spans="1:10" ht="12" customHeight="1">
      <c r="A2065" s="13" t="s">
        <v>565</v>
      </c>
      <c r="B2065" s="13" t="s">
        <v>566</v>
      </c>
      <c r="C2065" s="13" t="s">
        <v>143</v>
      </c>
      <c r="D2065" s="13" t="s">
        <v>28</v>
      </c>
      <c r="E2065" s="13" t="s">
        <v>93</v>
      </c>
      <c r="F2065" s="13" t="s">
        <v>567</v>
      </c>
      <c r="G2065" s="20" t="str">
        <f>HYPERLINK("https://semena-nn.ru/catalog/46/999000011504","Фото")</f>
        <v>Фото</v>
      </c>
      <c r="H2065" s="19">
        <v>25.31</v>
      </c>
      <c r="I2065" s="27"/>
      <c r="J2065" s="13">
        <f>H2065*I2065</f>
        <v>0</v>
      </c>
    </row>
    <row r="2066" spans="1:10" ht="12" customHeight="1">
      <c r="A2066" s="13" t="s">
        <v>8656</v>
      </c>
      <c r="B2066" s="13" t="s">
        <v>8657</v>
      </c>
      <c r="C2066" s="13" t="s">
        <v>143</v>
      </c>
      <c r="D2066" s="13" t="s">
        <v>8498</v>
      </c>
      <c r="E2066" s="13" t="s">
        <v>93</v>
      </c>
      <c r="F2066" s="13" t="s">
        <v>8658</v>
      </c>
      <c r="G2066" s="20" t="str">
        <f>HYPERLINK("https://semena-nn.ru/catalog/46/999000012734","Фото")</f>
        <v>Фото</v>
      </c>
      <c r="H2066" s="18">
        <v>22.8</v>
      </c>
      <c r="I2066" s="27"/>
      <c r="J2066" s="13">
        <f>H2066*I2066</f>
        <v>0</v>
      </c>
    </row>
    <row r="2067" spans="1:10" ht="12" customHeight="1">
      <c r="A2067" s="13" t="s">
        <v>6327</v>
      </c>
      <c r="B2067" s="13" t="s">
        <v>6328</v>
      </c>
      <c r="C2067" s="13" t="s">
        <v>143</v>
      </c>
      <c r="D2067" s="13" t="s">
        <v>6295</v>
      </c>
      <c r="E2067" s="13" t="s">
        <v>93</v>
      </c>
      <c r="F2067" s="13" t="s">
        <v>6329</v>
      </c>
      <c r="G2067" s="20" t="str">
        <f>HYPERLINK("http://semena-nn.ru/catalog/46/1118","Фото")</f>
        <v>Фото</v>
      </c>
      <c r="H2067" s="19">
        <v>152.25</v>
      </c>
      <c r="I2067" s="27"/>
      <c r="J2067" s="13">
        <f>H2067*I2067</f>
        <v>0</v>
      </c>
    </row>
    <row r="2068" spans="1:10" ht="12" customHeight="1">
      <c r="A2068" s="13" t="s">
        <v>568</v>
      </c>
      <c r="B2068" s="13" t="s">
        <v>569</v>
      </c>
      <c r="C2068" s="13" t="s">
        <v>143</v>
      </c>
      <c r="D2068" s="13" t="s">
        <v>28</v>
      </c>
      <c r="E2068" s="13" t="s">
        <v>93</v>
      </c>
      <c r="F2068" s="13" t="s">
        <v>570</v>
      </c>
      <c r="G2068" s="20" t="str">
        <f>HYPERLINK("https://semena-nn.ru/catalog/46/999000009741","Фото")</f>
        <v>Фото</v>
      </c>
      <c r="H2068" s="19">
        <v>30.08</v>
      </c>
      <c r="I2068" s="27"/>
      <c r="J2068" s="13">
        <f>H2068*I2068</f>
        <v>0</v>
      </c>
    </row>
    <row r="2069" spans="1:10" ht="12" customHeight="1">
      <c r="A2069" s="13" t="s">
        <v>7644</v>
      </c>
      <c r="B2069" s="13" t="s">
        <v>7645</v>
      </c>
      <c r="C2069" s="13" t="s">
        <v>143</v>
      </c>
      <c r="D2069" s="13" t="s">
        <v>7148</v>
      </c>
      <c r="E2069" s="13" t="s">
        <v>93</v>
      </c>
      <c r="F2069" s="13" t="s">
        <v>7646</v>
      </c>
      <c r="G2069" s="20" t="str">
        <f>HYPERLINK("https://semena-nn.ru/catalog/46/888000001633","Фото")</f>
        <v>Фото</v>
      </c>
      <c r="H2069" s="18">
        <v>73.099999999999994</v>
      </c>
      <c r="I2069" s="27"/>
      <c r="J2069" s="13">
        <f>H2069*I2069</f>
        <v>0</v>
      </c>
    </row>
    <row r="2070" spans="1:10" ht="12" customHeight="1">
      <c r="A2070" s="13" t="s">
        <v>6330</v>
      </c>
      <c r="B2070" s="13" t="s">
        <v>6331</v>
      </c>
      <c r="C2070" s="13" t="s">
        <v>143</v>
      </c>
      <c r="D2070" s="13" t="s">
        <v>6295</v>
      </c>
      <c r="E2070" s="13" t="s">
        <v>93</v>
      </c>
      <c r="F2070" s="13" t="s">
        <v>6332</v>
      </c>
      <c r="G2070" s="20" t="str">
        <f>HYPERLINK("https://semena-nn.ru/catalog/46/999000007809","Фото")</f>
        <v>Фото</v>
      </c>
      <c r="H2070" s="19">
        <v>152.25</v>
      </c>
      <c r="I2070" s="27"/>
      <c r="J2070" s="13">
        <f>H2070*I2070</f>
        <v>0</v>
      </c>
    </row>
    <row r="2071" spans="1:10" ht="12" customHeight="1">
      <c r="A2071" s="13" t="s">
        <v>7647</v>
      </c>
      <c r="B2071" s="13" t="s">
        <v>7648</v>
      </c>
      <c r="C2071" s="13" t="s">
        <v>143</v>
      </c>
      <c r="D2071" s="13" t="s">
        <v>7148</v>
      </c>
      <c r="E2071" s="13" t="s">
        <v>93</v>
      </c>
      <c r="F2071" s="13" t="s">
        <v>7649</v>
      </c>
      <c r="G2071" s="20" t="str">
        <f>HYPERLINK("http://semena-nn.ru/catalog/46/1314936","Фото")</f>
        <v>Фото</v>
      </c>
      <c r="H2071" s="18">
        <v>75.599999999999994</v>
      </c>
      <c r="I2071" s="27"/>
      <c r="J2071" s="13">
        <f>H2071*I2071</f>
        <v>0</v>
      </c>
    </row>
    <row r="2072" spans="1:10" ht="12" customHeight="1">
      <c r="A2072" s="13" t="s">
        <v>8258</v>
      </c>
      <c r="B2072" s="13" t="s">
        <v>8259</v>
      </c>
      <c r="C2072" s="13" t="s">
        <v>143</v>
      </c>
      <c r="D2072" s="13" t="s">
        <v>7728</v>
      </c>
      <c r="E2072" s="13" t="s">
        <v>93</v>
      </c>
      <c r="F2072" s="13" t="s">
        <v>8260</v>
      </c>
      <c r="G2072" s="20" t="str">
        <f>HYPERLINK("https://semena-nn.ru/catalog/46/102395","Фото")</f>
        <v>Фото</v>
      </c>
      <c r="H2072" s="18">
        <v>24.6</v>
      </c>
      <c r="I2072" s="27"/>
      <c r="J2072" s="13">
        <f>H2072*I2072</f>
        <v>0</v>
      </c>
    </row>
    <row r="2073" spans="1:10" ht="12" customHeight="1">
      <c r="A2073" s="13" t="s">
        <v>1824</v>
      </c>
      <c r="B2073" s="13" t="s">
        <v>1825</v>
      </c>
      <c r="C2073" s="13" t="s">
        <v>143</v>
      </c>
      <c r="D2073" s="13" t="s">
        <v>697</v>
      </c>
      <c r="E2073" s="13" t="s">
        <v>93</v>
      </c>
      <c r="F2073" s="13" t="s">
        <v>1826</v>
      </c>
      <c r="G2073" s="20" t="str">
        <f>HYPERLINK("http://semena-nn.ru/catalog/46/80806","Фото")</f>
        <v>Фото</v>
      </c>
      <c r="H2073" s="19">
        <v>33.950000000000003</v>
      </c>
      <c r="I2073" s="27"/>
      <c r="J2073" s="13">
        <f>H2073*I2073</f>
        <v>0</v>
      </c>
    </row>
    <row r="2074" spans="1:10" ht="12" customHeight="1">
      <c r="A2074" s="13" t="s">
        <v>571</v>
      </c>
      <c r="B2074" s="13" t="s">
        <v>572</v>
      </c>
      <c r="C2074" s="13" t="s">
        <v>143</v>
      </c>
      <c r="D2074" s="13" t="s">
        <v>28</v>
      </c>
      <c r="E2074" s="13" t="s">
        <v>93</v>
      </c>
      <c r="F2074" s="13" t="s">
        <v>573</v>
      </c>
      <c r="G2074" s="20" t="str">
        <f>HYPERLINK("https://semena-nn.ru/catalog/46/999000009995","Фото")</f>
        <v>Фото</v>
      </c>
      <c r="H2074" s="19">
        <v>21.63</v>
      </c>
      <c r="I2074" s="27"/>
      <c r="J2074" s="13">
        <f>H2074*I2074</f>
        <v>0</v>
      </c>
    </row>
    <row r="2075" spans="1:10" ht="12" customHeight="1">
      <c r="A2075" s="13" t="s">
        <v>8261</v>
      </c>
      <c r="B2075" s="13" t="s">
        <v>8262</v>
      </c>
      <c r="C2075" s="13" t="s">
        <v>143</v>
      </c>
      <c r="D2075" s="13" t="s">
        <v>7728</v>
      </c>
      <c r="E2075" s="13" t="s">
        <v>93</v>
      </c>
      <c r="F2075" s="13" t="s">
        <v>8263</v>
      </c>
      <c r="G2075" s="20" t="str">
        <f>HYPERLINK("http://semena-nn.ru/catalog/46/105824","Фото")</f>
        <v>Фото</v>
      </c>
      <c r="H2075" s="19">
        <v>84.35</v>
      </c>
      <c r="I2075" s="27"/>
      <c r="J2075" s="13">
        <f>H2075*I2075</f>
        <v>0</v>
      </c>
    </row>
    <row r="2076" spans="1:10" ht="12" customHeight="1">
      <c r="A2076" s="13" t="s">
        <v>8264</v>
      </c>
      <c r="B2076" s="13" t="s">
        <v>8265</v>
      </c>
      <c r="C2076" s="13" t="s">
        <v>143</v>
      </c>
      <c r="D2076" s="13" t="s">
        <v>7728</v>
      </c>
      <c r="E2076" s="13" t="s">
        <v>93</v>
      </c>
      <c r="F2076" s="13" t="s">
        <v>8266</v>
      </c>
      <c r="G2076" s="20" t="str">
        <f>HYPERLINK("http://semena-nn.ru/catalog/46/1283848","Фото")</f>
        <v>Фото</v>
      </c>
      <c r="H2076" s="18">
        <v>72.3</v>
      </c>
      <c r="I2076" s="27"/>
      <c r="J2076" s="13">
        <f>H2076*I2076</f>
        <v>0</v>
      </c>
    </row>
    <row r="2077" spans="1:10" ht="12" customHeight="1">
      <c r="A2077" s="13" t="s">
        <v>4256</v>
      </c>
      <c r="B2077" s="13" t="s">
        <v>4257</v>
      </c>
      <c r="C2077" s="13" t="s">
        <v>143</v>
      </c>
      <c r="D2077" s="13" t="s">
        <v>3475</v>
      </c>
      <c r="E2077" s="13" t="s">
        <v>93</v>
      </c>
      <c r="F2077" s="13" t="s">
        <v>4258</v>
      </c>
      <c r="G2077" s="20" t="str">
        <f>HYPERLINK("https://semena-nn.ru/catalog/46/1122529","Фото")</f>
        <v>Фото</v>
      </c>
      <c r="H2077" s="18">
        <v>56.5</v>
      </c>
      <c r="I2077" s="27"/>
      <c r="J2077" s="13">
        <f>H2077*I2077</f>
        <v>0</v>
      </c>
    </row>
    <row r="2078" spans="1:10" ht="12" customHeight="1">
      <c r="A2078" s="13" t="s">
        <v>5110</v>
      </c>
      <c r="B2078" s="13" t="s">
        <v>5111</v>
      </c>
      <c r="C2078" s="13" t="s">
        <v>143</v>
      </c>
      <c r="D2078" s="13" t="s">
        <v>5045</v>
      </c>
      <c r="E2078" s="13" t="s">
        <v>93</v>
      </c>
      <c r="F2078" s="13" t="s">
        <v>5112</v>
      </c>
      <c r="G2078" s="20" t="str">
        <f>HYPERLINK("http://semena-nn.ru/catalog/46/1307527","Фото")</f>
        <v>Фото</v>
      </c>
      <c r="H2078" s="15">
        <v>29</v>
      </c>
      <c r="I2078" s="27"/>
      <c r="J2078" s="13">
        <f>H2078*I2078</f>
        <v>0</v>
      </c>
    </row>
    <row r="2079" spans="1:10" ht="12" customHeight="1">
      <c r="A2079" s="13" t="s">
        <v>7650</v>
      </c>
      <c r="B2079" s="13" t="s">
        <v>7651</v>
      </c>
      <c r="C2079" s="13" t="s">
        <v>143</v>
      </c>
      <c r="D2079" s="13" t="s">
        <v>7148</v>
      </c>
      <c r="E2079" s="13" t="s">
        <v>93</v>
      </c>
      <c r="F2079" s="13" t="s">
        <v>7652</v>
      </c>
      <c r="G2079" s="20" t="str">
        <f>HYPERLINK("https://semena-nn.ru/catalog/46/999000013113","Фото")</f>
        <v>Фото</v>
      </c>
      <c r="H2079" s="18">
        <v>85.7</v>
      </c>
      <c r="I2079" s="27"/>
      <c r="J2079" s="13">
        <f>H2079*I2079</f>
        <v>0</v>
      </c>
    </row>
    <row r="2080" spans="1:10" ht="12" customHeight="1">
      <c r="A2080" s="13" t="s">
        <v>1827</v>
      </c>
      <c r="B2080" s="13" t="s">
        <v>1828</v>
      </c>
      <c r="C2080" s="13" t="s">
        <v>143</v>
      </c>
      <c r="D2080" s="13" t="s">
        <v>697</v>
      </c>
      <c r="E2080" s="13" t="s">
        <v>93</v>
      </c>
      <c r="F2080" s="13" t="s">
        <v>1829</v>
      </c>
      <c r="G2080" s="20" t="str">
        <f>HYPERLINK("http://semena-nn.ru/catalog/46/1126485","Фото")</f>
        <v>Фото</v>
      </c>
      <c r="H2080" s="18">
        <v>34.9</v>
      </c>
      <c r="I2080" s="27"/>
      <c r="J2080" s="13">
        <f>H2080*I2080</f>
        <v>0</v>
      </c>
    </row>
    <row r="2081" spans="1:10" ht="12" customHeight="1">
      <c r="A2081" s="13" t="s">
        <v>1830</v>
      </c>
      <c r="B2081" s="13" t="s">
        <v>1831</v>
      </c>
      <c r="C2081" s="13" t="s">
        <v>143</v>
      </c>
      <c r="D2081" s="13" t="s">
        <v>697</v>
      </c>
      <c r="E2081" s="13" t="s">
        <v>93</v>
      </c>
      <c r="F2081" s="13" t="s">
        <v>1832</v>
      </c>
      <c r="G2081" s="20" t="str">
        <f>HYPERLINK("https://semena-nn.ru/catalog/46/108187","Фото")</f>
        <v>Фото</v>
      </c>
      <c r="H2081" s="18">
        <v>30.1</v>
      </c>
      <c r="I2081" s="27"/>
      <c r="J2081" s="13">
        <f>H2081*I2081</f>
        <v>0</v>
      </c>
    </row>
    <row r="2082" spans="1:10" ht="12" customHeight="1">
      <c r="A2082" s="13" t="s">
        <v>8466</v>
      </c>
      <c r="B2082" s="13" t="s">
        <v>8467</v>
      </c>
      <c r="C2082" s="13" t="s">
        <v>143</v>
      </c>
      <c r="D2082" s="13" t="s">
        <v>8317</v>
      </c>
      <c r="E2082" s="13" t="s">
        <v>93</v>
      </c>
      <c r="F2082" s="13" t="s">
        <v>8468</v>
      </c>
      <c r="G2082" s="20" t="str">
        <f>HYPERLINK("https://semena-nn.ru/catalog/46/1303089","Фото")</f>
        <v>Фото</v>
      </c>
      <c r="H2082" s="18">
        <v>143.30000000000001</v>
      </c>
      <c r="I2082" s="27"/>
      <c r="J2082" s="13">
        <f>H2082*I2082</f>
        <v>0</v>
      </c>
    </row>
    <row r="2083" spans="1:10" ht="12" customHeight="1">
      <c r="A2083" s="13" t="s">
        <v>8469</v>
      </c>
      <c r="B2083" s="13" t="s">
        <v>8470</v>
      </c>
      <c r="C2083" s="13" t="s">
        <v>143</v>
      </c>
      <c r="D2083" s="13" t="s">
        <v>8317</v>
      </c>
      <c r="E2083" s="13" t="s">
        <v>93</v>
      </c>
      <c r="F2083" s="13" t="s">
        <v>8471</v>
      </c>
      <c r="G2083" s="20" t="str">
        <f>HYPERLINK("http://semena-nn.ru/catalog/46/1298416","Фото")</f>
        <v>Фото</v>
      </c>
      <c r="H2083" s="18">
        <v>143.30000000000001</v>
      </c>
      <c r="I2083" s="27"/>
      <c r="J2083" s="13">
        <f>H2083*I2083</f>
        <v>0</v>
      </c>
    </row>
    <row r="2084" spans="1:10" ht="12" customHeight="1">
      <c r="A2084" s="13" t="s">
        <v>5548</v>
      </c>
      <c r="B2084" s="13" t="s">
        <v>5549</v>
      </c>
      <c r="C2084" s="13" t="s">
        <v>143</v>
      </c>
      <c r="D2084" s="13" t="s">
        <v>5136</v>
      </c>
      <c r="E2084" s="13" t="s">
        <v>93</v>
      </c>
      <c r="F2084" s="13" t="s">
        <v>5550</v>
      </c>
      <c r="G2084" s="20" t="str">
        <f>HYPERLINK("https://semena-nn.ru/catalog/46/888000000464","Фото")</f>
        <v>Фото</v>
      </c>
      <c r="H2084" s="19">
        <v>42.75</v>
      </c>
      <c r="I2084" s="27"/>
      <c r="J2084" s="13">
        <f>H2084*I2084</f>
        <v>0</v>
      </c>
    </row>
    <row r="2085" spans="1:10" ht="12" customHeight="1">
      <c r="A2085" s="13" t="s">
        <v>8659</v>
      </c>
      <c r="B2085" s="13" t="s">
        <v>8660</v>
      </c>
      <c r="C2085" s="13" t="s">
        <v>143</v>
      </c>
      <c r="D2085" s="13" t="s">
        <v>8498</v>
      </c>
      <c r="E2085" s="13" t="s">
        <v>93</v>
      </c>
      <c r="F2085" s="13" t="s">
        <v>8661</v>
      </c>
      <c r="G2085" s="20" t="str">
        <f>HYPERLINK("http://semena-nn.ru/catalog/46/1310896","Фото")</f>
        <v>Фото</v>
      </c>
      <c r="H2085" s="18">
        <v>27.5</v>
      </c>
      <c r="I2085" s="27"/>
      <c r="J2085" s="13">
        <f>H2085*I2085</f>
        <v>0</v>
      </c>
    </row>
    <row r="2086" spans="1:10" ht="12" customHeight="1">
      <c r="A2086" s="13" t="s">
        <v>8662</v>
      </c>
      <c r="B2086" s="13" t="s">
        <v>8663</v>
      </c>
      <c r="C2086" s="13" t="s">
        <v>143</v>
      </c>
      <c r="D2086" s="13" t="s">
        <v>8498</v>
      </c>
      <c r="E2086" s="13" t="s">
        <v>93</v>
      </c>
      <c r="F2086" s="13" t="s">
        <v>8664</v>
      </c>
      <c r="G2086" s="20" t="str">
        <f>HYPERLINK("https://semena-nn.ru/catalog/46/106446","Фото")</f>
        <v>Фото</v>
      </c>
      <c r="H2086" s="19">
        <v>18.649999999999999</v>
      </c>
      <c r="I2086" s="27"/>
      <c r="J2086" s="13">
        <f>H2086*I2086</f>
        <v>0</v>
      </c>
    </row>
    <row r="2087" spans="1:10" ht="12" customHeight="1">
      <c r="A2087" s="13" t="s">
        <v>7653</v>
      </c>
      <c r="B2087" s="13" t="s">
        <v>7654</v>
      </c>
      <c r="C2087" s="13" t="s">
        <v>143</v>
      </c>
      <c r="D2087" s="13" t="s">
        <v>7148</v>
      </c>
      <c r="E2087" s="13" t="s">
        <v>93</v>
      </c>
      <c r="F2087" s="13" t="s">
        <v>7655</v>
      </c>
      <c r="G2087" s="20" t="str">
        <f>HYPERLINK("http://semena-nn.ru/catalog/46/1313778","Фото")</f>
        <v>Фото</v>
      </c>
      <c r="H2087" s="18">
        <v>75.599999999999994</v>
      </c>
      <c r="I2087" s="27"/>
      <c r="J2087" s="13">
        <f>H2087*I2087</f>
        <v>0</v>
      </c>
    </row>
    <row r="2088" spans="1:10" ht="12" customHeight="1">
      <c r="A2088" s="13" t="s">
        <v>1833</v>
      </c>
      <c r="B2088" s="13" t="s">
        <v>1834</v>
      </c>
      <c r="C2088" s="13" t="s">
        <v>143</v>
      </c>
      <c r="D2088" s="13" t="s">
        <v>697</v>
      </c>
      <c r="E2088" s="13" t="s">
        <v>93</v>
      </c>
      <c r="F2088" s="13" t="s">
        <v>1835</v>
      </c>
      <c r="G2088" s="20" t="str">
        <f>HYPERLINK("https://semena-nn.ru/catalog/46/888000007607","Фото")</f>
        <v>Фото</v>
      </c>
      <c r="H2088" s="19">
        <v>31.35</v>
      </c>
      <c r="I2088" s="27"/>
      <c r="J2088" s="13">
        <f>H2088*I2088</f>
        <v>0</v>
      </c>
    </row>
    <row r="2089" spans="1:10" ht="12" customHeight="1">
      <c r="A2089" s="13" t="s">
        <v>1836</v>
      </c>
      <c r="B2089" s="13" t="s">
        <v>1837</v>
      </c>
      <c r="C2089" s="13" t="s">
        <v>143</v>
      </c>
      <c r="D2089" s="13" t="s">
        <v>697</v>
      </c>
      <c r="E2089" s="13" t="s">
        <v>93</v>
      </c>
      <c r="F2089" s="13" t="s">
        <v>1838</v>
      </c>
      <c r="G2089" s="20" t="str">
        <f>HYPERLINK("http://semena-nn.ru/catalog/46/104364","Фото")</f>
        <v>Фото</v>
      </c>
      <c r="H2089" s="18">
        <v>32.5</v>
      </c>
      <c r="I2089" s="27"/>
      <c r="J2089" s="13">
        <f>H2089*I2089</f>
        <v>0</v>
      </c>
    </row>
    <row r="2090" spans="1:10" ht="12" customHeight="1">
      <c r="A2090" s="13" t="s">
        <v>1839</v>
      </c>
      <c r="B2090" s="13" t="s">
        <v>1840</v>
      </c>
      <c r="C2090" s="13" t="s">
        <v>143</v>
      </c>
      <c r="D2090" s="13" t="s">
        <v>697</v>
      </c>
      <c r="E2090" s="13" t="s">
        <v>93</v>
      </c>
      <c r="F2090" s="13" t="s">
        <v>1841</v>
      </c>
      <c r="G2090" s="20" t="str">
        <f>HYPERLINK("https://semena-nn.ru/catalog/46/999000009181","Фото")</f>
        <v>Фото</v>
      </c>
      <c r="H2090" s="19">
        <v>25.15</v>
      </c>
      <c r="I2090" s="27"/>
      <c r="J2090" s="13">
        <f>H2090*I2090</f>
        <v>0</v>
      </c>
    </row>
    <row r="2091" spans="1:10" ht="12" customHeight="1">
      <c r="A2091" s="13" t="s">
        <v>7656</v>
      </c>
      <c r="B2091" s="13" t="s">
        <v>7657</v>
      </c>
      <c r="C2091" s="13" t="s">
        <v>143</v>
      </c>
      <c r="D2091" s="13" t="s">
        <v>7148</v>
      </c>
      <c r="E2091" s="13" t="s">
        <v>93</v>
      </c>
      <c r="F2091" s="13" t="s">
        <v>7658</v>
      </c>
      <c r="G2091" s="20" t="str">
        <f>HYPERLINK("http://semena-nn.ru/catalog/46/1314249","Фото")</f>
        <v>Фото</v>
      </c>
      <c r="H2091" s="18">
        <v>65.5</v>
      </c>
      <c r="I2091" s="27"/>
      <c r="J2091" s="13">
        <f>H2091*I2091</f>
        <v>0</v>
      </c>
    </row>
    <row r="2092" spans="1:10" ht="12" customHeight="1">
      <c r="A2092" s="13" t="s">
        <v>7659</v>
      </c>
      <c r="B2092" s="13" t="s">
        <v>7660</v>
      </c>
      <c r="C2092" s="13" t="s">
        <v>143</v>
      </c>
      <c r="D2092" s="13" t="s">
        <v>7148</v>
      </c>
      <c r="E2092" s="13" t="s">
        <v>93</v>
      </c>
      <c r="F2092" s="13"/>
      <c r="G2092" s="13"/>
      <c r="H2092" s="18">
        <v>176.4</v>
      </c>
      <c r="I2092" s="27"/>
      <c r="J2092" s="13">
        <f>H2092*I2092</f>
        <v>0</v>
      </c>
    </row>
    <row r="2093" spans="1:10" ht="12" customHeight="1">
      <c r="A2093" s="13" t="s">
        <v>6599</v>
      </c>
      <c r="B2093" s="13" t="s">
        <v>6600</v>
      </c>
      <c r="C2093" s="13" t="s">
        <v>143</v>
      </c>
      <c r="D2093" s="13" t="s">
        <v>87</v>
      </c>
      <c r="E2093" s="13" t="s">
        <v>93</v>
      </c>
      <c r="F2093" s="17" t="s">
        <v>6601</v>
      </c>
      <c r="G2093" s="20" t="str">
        <f>HYPERLINK("http://semena-nn.ru/catalog/46/1303644","Фото")</f>
        <v>Фото</v>
      </c>
      <c r="H2093" s="18">
        <v>24.4</v>
      </c>
      <c r="I2093" s="27"/>
      <c r="J2093" s="13">
        <f>H2093*I2093</f>
        <v>0</v>
      </c>
    </row>
    <row r="2094" spans="1:10" ht="12" customHeight="1">
      <c r="A2094" s="13" t="s">
        <v>7661</v>
      </c>
      <c r="B2094" s="13" t="s">
        <v>7662</v>
      </c>
      <c r="C2094" s="13" t="s">
        <v>143</v>
      </c>
      <c r="D2094" s="13" t="s">
        <v>7148</v>
      </c>
      <c r="E2094" s="13" t="s">
        <v>93</v>
      </c>
      <c r="F2094" s="13" t="s">
        <v>7663</v>
      </c>
      <c r="G2094" s="20" t="str">
        <f>HYPERLINK("https://semena-nn.ru/catalog/46/999000009530","Фото")</f>
        <v>Фото</v>
      </c>
      <c r="H2094" s="18">
        <v>95.8</v>
      </c>
      <c r="I2094" s="27"/>
      <c r="J2094" s="13">
        <f>H2094*I2094</f>
        <v>0</v>
      </c>
    </row>
    <row r="2095" spans="1:10" ht="12" customHeight="1">
      <c r="A2095" s="13" t="s">
        <v>7664</v>
      </c>
      <c r="B2095" s="13" t="s">
        <v>7665</v>
      </c>
      <c r="C2095" s="13" t="s">
        <v>143</v>
      </c>
      <c r="D2095" s="13" t="s">
        <v>7148</v>
      </c>
      <c r="E2095" s="13" t="s">
        <v>93</v>
      </c>
      <c r="F2095" s="13"/>
      <c r="G2095" s="13"/>
      <c r="H2095" s="18">
        <v>105.9</v>
      </c>
      <c r="I2095" s="27"/>
      <c r="J2095" s="13">
        <f>H2095*I2095</f>
        <v>0</v>
      </c>
    </row>
    <row r="2096" spans="1:10" ht="12" customHeight="1">
      <c r="A2096" s="13" t="s">
        <v>7666</v>
      </c>
      <c r="B2096" s="13" t="s">
        <v>7667</v>
      </c>
      <c r="C2096" s="13" t="s">
        <v>143</v>
      </c>
      <c r="D2096" s="13" t="s">
        <v>7148</v>
      </c>
      <c r="E2096" s="13" t="s">
        <v>93</v>
      </c>
      <c r="F2096" s="13" t="s">
        <v>7668</v>
      </c>
      <c r="G2096" s="20" t="str">
        <f>HYPERLINK("https://semena-nn.ru/catalog/46/999000007992","Фото")</f>
        <v>Фото</v>
      </c>
      <c r="H2096" s="18">
        <v>95.8</v>
      </c>
      <c r="I2096" s="27"/>
      <c r="J2096" s="13">
        <f>H2096*I2096</f>
        <v>0</v>
      </c>
    </row>
    <row r="2097" spans="1:10" ht="12" customHeight="1">
      <c r="A2097" s="13" t="s">
        <v>7669</v>
      </c>
      <c r="B2097" s="13" t="s">
        <v>7670</v>
      </c>
      <c r="C2097" s="13" t="s">
        <v>143</v>
      </c>
      <c r="D2097" s="13" t="s">
        <v>7148</v>
      </c>
      <c r="E2097" s="13" t="s">
        <v>93</v>
      </c>
      <c r="F2097" s="13" t="s">
        <v>7671</v>
      </c>
      <c r="G2097" s="20" t="str">
        <f>HYPERLINK("https://semena-nn.ru/catalog/46/999000013115","Фото")</f>
        <v>Фото</v>
      </c>
      <c r="H2097" s="18">
        <v>55.5</v>
      </c>
      <c r="I2097" s="27"/>
      <c r="J2097" s="13">
        <f>H2097*I2097</f>
        <v>0</v>
      </c>
    </row>
    <row r="2098" spans="1:10" ht="12" customHeight="1">
      <c r="A2098" s="13" t="s">
        <v>7672</v>
      </c>
      <c r="B2098" s="13" t="s">
        <v>7673</v>
      </c>
      <c r="C2098" s="13" t="s">
        <v>143</v>
      </c>
      <c r="D2098" s="13" t="s">
        <v>7148</v>
      </c>
      <c r="E2098" s="13" t="s">
        <v>93</v>
      </c>
      <c r="F2098" s="13"/>
      <c r="G2098" s="13"/>
      <c r="H2098" s="18">
        <v>75.599999999999994</v>
      </c>
      <c r="I2098" s="27"/>
      <c r="J2098" s="13">
        <f>H2098*I2098</f>
        <v>0</v>
      </c>
    </row>
    <row r="2099" spans="1:10" ht="12" customHeight="1">
      <c r="A2099" s="13" t="s">
        <v>8947</v>
      </c>
      <c r="B2099" s="13" t="s">
        <v>8948</v>
      </c>
      <c r="C2099" s="13" t="s">
        <v>143</v>
      </c>
      <c r="D2099" s="13" t="s">
        <v>8717</v>
      </c>
      <c r="E2099" s="13" t="s">
        <v>93</v>
      </c>
      <c r="F2099" s="13" t="s">
        <v>8949</v>
      </c>
      <c r="G2099" s="20" t="str">
        <f>HYPERLINK("https://semena-nn.ru/catalog/46/1310196","Фото")</f>
        <v>Фото</v>
      </c>
      <c r="H2099" s="15">
        <v>19</v>
      </c>
      <c r="I2099" s="27"/>
      <c r="J2099" s="13">
        <f>H2099*I2099</f>
        <v>0</v>
      </c>
    </row>
    <row r="2100" spans="1:10" ht="12" customHeight="1">
      <c r="A2100" s="13" t="s">
        <v>4259</v>
      </c>
      <c r="B2100" s="13" t="s">
        <v>4260</v>
      </c>
      <c r="C2100" s="13" t="s">
        <v>143</v>
      </c>
      <c r="D2100" s="13" t="s">
        <v>3475</v>
      </c>
      <c r="E2100" s="13" t="s">
        <v>93</v>
      </c>
      <c r="F2100" s="13" t="s">
        <v>4261</v>
      </c>
      <c r="G2100" s="20" t="str">
        <f>HYPERLINK("http://semena-nn.ru/catalog/46/80379","Фото")</f>
        <v>Фото</v>
      </c>
      <c r="H2100" s="18">
        <v>24.7</v>
      </c>
      <c r="I2100" s="27"/>
      <c r="J2100" s="13">
        <f>H2100*I2100</f>
        <v>0</v>
      </c>
    </row>
    <row r="2101" spans="1:10" ht="12" customHeight="1">
      <c r="A2101" s="13" t="s">
        <v>4262</v>
      </c>
      <c r="B2101" s="13" t="s">
        <v>4263</v>
      </c>
      <c r="C2101" s="13" t="s">
        <v>143</v>
      </c>
      <c r="D2101" s="13" t="s">
        <v>3475</v>
      </c>
      <c r="E2101" s="13" t="s">
        <v>93</v>
      </c>
      <c r="F2101" s="13" t="s">
        <v>4232</v>
      </c>
      <c r="G2101" s="20" t="str">
        <f>HYPERLINK("https://semena-nn.ru/catalog/46/1304453","Фото")</f>
        <v>Фото</v>
      </c>
      <c r="H2101" s="19">
        <v>45.15</v>
      </c>
      <c r="I2101" s="27"/>
      <c r="J2101" s="13">
        <f>H2101*I2101</f>
        <v>0</v>
      </c>
    </row>
    <row r="2102" spans="1:10" ht="12" customHeight="1">
      <c r="A2102" s="13" t="s">
        <v>4264</v>
      </c>
      <c r="B2102" s="13" t="s">
        <v>4265</v>
      </c>
      <c r="C2102" s="13" t="s">
        <v>143</v>
      </c>
      <c r="D2102" s="13" t="s">
        <v>3475</v>
      </c>
      <c r="E2102" s="13" t="s">
        <v>93</v>
      </c>
      <c r="F2102" s="13" t="s">
        <v>4266</v>
      </c>
      <c r="G2102" s="20" t="str">
        <f>HYPERLINK("https://semena-nn.ru/catalog/46/999000009366","Фото")</f>
        <v>Фото</v>
      </c>
      <c r="H2102" s="18">
        <v>38.799999999999997</v>
      </c>
      <c r="I2102" s="27"/>
      <c r="J2102" s="13">
        <f>H2102*I2102</f>
        <v>0</v>
      </c>
    </row>
    <row r="2103" spans="1:10" ht="12" customHeight="1">
      <c r="A2103" s="13" t="s">
        <v>7116</v>
      </c>
      <c r="B2103" s="13" t="s">
        <v>7117</v>
      </c>
      <c r="C2103" s="13" t="s">
        <v>143</v>
      </c>
      <c r="D2103" s="13" t="s">
        <v>6927</v>
      </c>
      <c r="E2103" s="13" t="s">
        <v>93</v>
      </c>
      <c r="F2103" s="13" t="s">
        <v>7118</v>
      </c>
      <c r="G2103" s="20" t="str">
        <f>HYPERLINK("https://semena-nn.ru/catalog/46/888000000554","Фото")</f>
        <v>Фото</v>
      </c>
      <c r="H2103" s="19">
        <v>41.85</v>
      </c>
      <c r="I2103" s="27"/>
      <c r="J2103" s="13">
        <f>H2103*I2103</f>
        <v>0</v>
      </c>
    </row>
    <row r="2104" spans="1:10" ht="12" customHeight="1">
      <c r="A2104" s="13" t="s">
        <v>8665</v>
      </c>
      <c r="B2104" s="13" t="s">
        <v>8666</v>
      </c>
      <c r="C2104" s="13" t="s">
        <v>143</v>
      </c>
      <c r="D2104" s="13" t="s">
        <v>8498</v>
      </c>
      <c r="E2104" s="13" t="s">
        <v>93</v>
      </c>
      <c r="F2104" s="13" t="s">
        <v>8667</v>
      </c>
      <c r="G2104" s="20" t="str">
        <f>HYPERLINK("http://semena-nn.ru/catalog/46/1302541","Фото")</f>
        <v>Фото</v>
      </c>
      <c r="H2104" s="18">
        <v>23.6</v>
      </c>
      <c r="I2104" s="27"/>
      <c r="J2104" s="13">
        <f>H2104*I2104</f>
        <v>0</v>
      </c>
    </row>
    <row r="2105" spans="1:10" ht="12" customHeight="1">
      <c r="A2105" s="13" t="s">
        <v>5551</v>
      </c>
      <c r="B2105" s="13" t="s">
        <v>5552</v>
      </c>
      <c r="C2105" s="13" t="s">
        <v>143</v>
      </c>
      <c r="D2105" s="13" t="s">
        <v>5136</v>
      </c>
      <c r="E2105" s="13" t="s">
        <v>93</v>
      </c>
      <c r="F2105" s="13" t="s">
        <v>5553</v>
      </c>
      <c r="G2105" s="20" t="str">
        <f>HYPERLINK("https://semena-nn.ru/catalog/46/888000001391","Фото")</f>
        <v>Фото</v>
      </c>
      <c r="H2105" s="19">
        <v>42.75</v>
      </c>
      <c r="I2105" s="27"/>
      <c r="J2105" s="13">
        <f>H2105*I2105</f>
        <v>0</v>
      </c>
    </row>
    <row r="2106" spans="1:10" ht="12" customHeight="1">
      <c r="A2106" s="13" t="s">
        <v>5554</v>
      </c>
      <c r="B2106" s="13" t="s">
        <v>5555</v>
      </c>
      <c r="C2106" s="13" t="s">
        <v>143</v>
      </c>
      <c r="D2106" s="13" t="s">
        <v>5136</v>
      </c>
      <c r="E2106" s="13" t="s">
        <v>93</v>
      </c>
      <c r="F2106" s="13" t="s">
        <v>5556</v>
      </c>
      <c r="G2106" s="20" t="str">
        <f>HYPERLINK("https://semena-nn.ru/catalog/46/999000019920","Фото")</f>
        <v>Фото</v>
      </c>
      <c r="H2106" s="18">
        <v>110.5</v>
      </c>
      <c r="I2106" s="27"/>
      <c r="J2106" s="13">
        <f>H2106*I2106</f>
        <v>0</v>
      </c>
    </row>
    <row r="2107" spans="1:10" ht="12" customHeight="1">
      <c r="A2107" s="13" t="s">
        <v>5557</v>
      </c>
      <c r="B2107" s="13" t="s">
        <v>5558</v>
      </c>
      <c r="C2107" s="13" t="s">
        <v>143</v>
      </c>
      <c r="D2107" s="13" t="s">
        <v>5136</v>
      </c>
      <c r="E2107" s="13" t="s">
        <v>93</v>
      </c>
      <c r="F2107" s="13" t="s">
        <v>5559</v>
      </c>
      <c r="G2107" s="20" t="str">
        <f>HYPERLINK("https://semena-nn.ru/catalog/46/999000020416","Фото")</f>
        <v>Фото</v>
      </c>
      <c r="H2107" s="15">
        <v>105</v>
      </c>
      <c r="I2107" s="27"/>
      <c r="J2107" s="13">
        <f>H2107*I2107</f>
        <v>0</v>
      </c>
    </row>
    <row r="2108" spans="1:10" ht="12" customHeight="1">
      <c r="A2108" s="13" t="s">
        <v>5560</v>
      </c>
      <c r="B2108" s="13" t="s">
        <v>5561</v>
      </c>
      <c r="C2108" s="13" t="s">
        <v>143</v>
      </c>
      <c r="D2108" s="13" t="s">
        <v>5136</v>
      </c>
      <c r="E2108" s="13" t="s">
        <v>93</v>
      </c>
      <c r="F2108" s="13" t="s">
        <v>5562</v>
      </c>
      <c r="G2108" s="20" t="str">
        <f>HYPERLINK("https://semena-nn.ru/catalog/46/999000019921","Фото")</f>
        <v>Фото</v>
      </c>
      <c r="H2108" s="15">
        <v>57</v>
      </c>
      <c r="I2108" s="27"/>
      <c r="J2108" s="13">
        <f>H2108*I2108</f>
        <v>0</v>
      </c>
    </row>
    <row r="2109" spans="1:10" ht="12" customHeight="1">
      <c r="A2109" s="13" t="s">
        <v>4267</v>
      </c>
      <c r="B2109" s="13" t="s">
        <v>4268</v>
      </c>
      <c r="C2109" s="13" t="s">
        <v>143</v>
      </c>
      <c r="D2109" s="13" t="s">
        <v>3475</v>
      </c>
      <c r="E2109" s="13" t="s">
        <v>93</v>
      </c>
      <c r="F2109" s="13" t="s">
        <v>4269</v>
      </c>
      <c r="G2109" s="20" t="str">
        <f>HYPERLINK("https://semena-nn.ru/catalog/46/999000019896","Фото")</f>
        <v>Фото</v>
      </c>
      <c r="H2109" s="18">
        <v>29.5</v>
      </c>
      <c r="I2109" s="27"/>
      <c r="J2109" s="13">
        <f>H2109*I2109</f>
        <v>0</v>
      </c>
    </row>
    <row r="2110" spans="1:10" ht="12" customHeight="1">
      <c r="A2110" s="13" t="s">
        <v>5563</v>
      </c>
      <c r="B2110" s="13" t="s">
        <v>5564</v>
      </c>
      <c r="C2110" s="13" t="s">
        <v>143</v>
      </c>
      <c r="D2110" s="13" t="s">
        <v>5136</v>
      </c>
      <c r="E2110" s="13" t="s">
        <v>93</v>
      </c>
      <c r="F2110" s="13" t="s">
        <v>5565</v>
      </c>
      <c r="G2110" s="20" t="str">
        <f>HYPERLINK("https://semena-nn.ru/catalog/46/999000019922","Фото")</f>
        <v>Фото</v>
      </c>
      <c r="H2110" s="18">
        <v>40.5</v>
      </c>
      <c r="I2110" s="27"/>
      <c r="J2110" s="13">
        <f>H2110*I2110</f>
        <v>0</v>
      </c>
    </row>
    <row r="2111" spans="1:10" ht="12" customHeight="1">
      <c r="A2111" s="13" t="s">
        <v>184</v>
      </c>
      <c r="B2111" s="13" t="s">
        <v>185</v>
      </c>
      <c r="C2111" s="13" t="s">
        <v>143</v>
      </c>
      <c r="D2111" s="13" t="s">
        <v>92</v>
      </c>
      <c r="E2111" s="13" t="s">
        <v>93</v>
      </c>
      <c r="F2111" s="13" t="s">
        <v>186</v>
      </c>
      <c r="G2111" s="20" t="str">
        <f>HYPERLINK("https://semena-nn.ru/catalog/46/888000000202","Фото")</f>
        <v>Фото</v>
      </c>
      <c r="H2111" s="19">
        <v>40.950000000000003</v>
      </c>
      <c r="I2111" s="27"/>
      <c r="J2111" s="13">
        <f>H2111*I2111</f>
        <v>0</v>
      </c>
    </row>
    <row r="2112" spans="1:10" ht="12" customHeight="1">
      <c r="A2112" s="13" t="s">
        <v>8472</v>
      </c>
      <c r="B2112" s="13" t="s">
        <v>8473</v>
      </c>
      <c r="C2112" s="13" t="s">
        <v>143</v>
      </c>
      <c r="D2112" s="13" t="s">
        <v>8317</v>
      </c>
      <c r="E2112" s="13" t="s">
        <v>93</v>
      </c>
      <c r="F2112" s="13" t="s">
        <v>8474</v>
      </c>
      <c r="G2112" s="20" t="str">
        <f>HYPERLINK("https://semena-nn.ru/catalog/46/999000021423","Фото")</f>
        <v>Фото</v>
      </c>
      <c r="H2112" s="18">
        <v>77.2</v>
      </c>
      <c r="I2112" s="27"/>
      <c r="J2112" s="13">
        <f>H2112*I2112</f>
        <v>0</v>
      </c>
    </row>
    <row r="2113" spans="1:10" ht="12" customHeight="1">
      <c r="A2113" s="13" t="s">
        <v>7674</v>
      </c>
      <c r="B2113" s="13" t="s">
        <v>7675</v>
      </c>
      <c r="C2113" s="13" t="s">
        <v>143</v>
      </c>
      <c r="D2113" s="13" t="s">
        <v>7148</v>
      </c>
      <c r="E2113" s="13" t="s">
        <v>93</v>
      </c>
      <c r="F2113" s="17" t="s">
        <v>7676</v>
      </c>
      <c r="G2113" s="20" t="str">
        <f>HYPERLINK("http://semena-nn.ru/catalog/46/1314250","Фото")</f>
        <v>Фото</v>
      </c>
      <c r="H2113" s="18">
        <v>65.5</v>
      </c>
      <c r="I2113" s="27"/>
      <c r="J2113" s="13">
        <f>H2113*I2113</f>
        <v>0</v>
      </c>
    </row>
    <row r="2114" spans="1:10" ht="12" customHeight="1">
      <c r="A2114" s="13" t="s">
        <v>8267</v>
      </c>
      <c r="B2114" s="13" t="s">
        <v>8268</v>
      </c>
      <c r="C2114" s="13" t="s">
        <v>143</v>
      </c>
      <c r="D2114" s="13" t="s">
        <v>7728</v>
      </c>
      <c r="E2114" s="13" t="s">
        <v>93</v>
      </c>
      <c r="F2114" s="13" t="s">
        <v>8269</v>
      </c>
      <c r="G2114" s="20" t="str">
        <f>HYPERLINK("https://semena-nn.ru/catalog/46/112470","Фото")</f>
        <v>Фото</v>
      </c>
      <c r="H2114" s="18">
        <v>22.7</v>
      </c>
      <c r="I2114" s="27"/>
      <c r="J2114" s="13">
        <f>H2114*I2114</f>
        <v>0</v>
      </c>
    </row>
    <row r="2115" spans="1:10" ht="12" customHeight="1">
      <c r="A2115" s="13" t="s">
        <v>4270</v>
      </c>
      <c r="B2115" s="13" t="s">
        <v>4271</v>
      </c>
      <c r="C2115" s="13" t="s">
        <v>143</v>
      </c>
      <c r="D2115" s="13" t="s">
        <v>3475</v>
      </c>
      <c r="E2115" s="13" t="s">
        <v>93</v>
      </c>
      <c r="F2115" s="17" t="s">
        <v>4272</v>
      </c>
      <c r="G2115" s="20" t="str">
        <f>HYPERLINK("http://semena-nn.ru/catalog/46/1307099","Фото")</f>
        <v>Фото</v>
      </c>
      <c r="H2115" s="18">
        <v>29.4</v>
      </c>
      <c r="I2115" s="27"/>
      <c r="J2115" s="13">
        <f>H2115*I2115</f>
        <v>0</v>
      </c>
    </row>
    <row r="2116" spans="1:10" ht="12" customHeight="1">
      <c r="A2116" s="13" t="s">
        <v>5113</v>
      </c>
      <c r="B2116" s="13" t="s">
        <v>5114</v>
      </c>
      <c r="C2116" s="13" t="s">
        <v>143</v>
      </c>
      <c r="D2116" s="13" t="s">
        <v>5045</v>
      </c>
      <c r="E2116" s="13" t="s">
        <v>93</v>
      </c>
      <c r="F2116" s="13" t="s">
        <v>5115</v>
      </c>
      <c r="G2116" s="20" t="str">
        <f>HYPERLINK("https://semena-nn.ru/catalog/46/999000011535","Фото")</f>
        <v>Фото</v>
      </c>
      <c r="H2116" s="18">
        <v>31.5</v>
      </c>
      <c r="I2116" s="27"/>
      <c r="J2116" s="13">
        <f>H2116*I2116</f>
        <v>0</v>
      </c>
    </row>
    <row r="2117" spans="1:10" ht="12" customHeight="1">
      <c r="A2117" s="13" t="s">
        <v>187</v>
      </c>
      <c r="B2117" s="13" t="s">
        <v>188</v>
      </c>
      <c r="C2117" s="13" t="s">
        <v>143</v>
      </c>
      <c r="D2117" s="13" t="s">
        <v>92</v>
      </c>
      <c r="E2117" s="13" t="s">
        <v>93</v>
      </c>
      <c r="F2117" s="13" t="s">
        <v>189</v>
      </c>
      <c r="G2117" s="20" t="str">
        <f>HYPERLINK("http://semena-nn.ru/catalog/46/1303122","Фото")</f>
        <v>Фото</v>
      </c>
      <c r="H2117" s="18">
        <v>34.1</v>
      </c>
      <c r="I2117" s="27"/>
      <c r="J2117" s="13">
        <f>H2117*I2117</f>
        <v>0</v>
      </c>
    </row>
    <row r="2118" spans="1:10" ht="12" customHeight="1">
      <c r="A2118" s="13" t="s">
        <v>6333</v>
      </c>
      <c r="B2118" s="13" t="s">
        <v>6334</v>
      </c>
      <c r="C2118" s="13" t="s">
        <v>143</v>
      </c>
      <c r="D2118" s="13" t="s">
        <v>6295</v>
      </c>
      <c r="E2118" s="13" t="s">
        <v>93</v>
      </c>
      <c r="F2118" s="13" t="s">
        <v>6335</v>
      </c>
      <c r="G2118" s="20" t="str">
        <f>HYPERLINK("https://semena-nn.ru/catalog/46/1312111","Фото")</f>
        <v>Фото</v>
      </c>
      <c r="H2118" s="19">
        <v>152.25</v>
      </c>
      <c r="I2118" s="27"/>
      <c r="J2118" s="13">
        <f>H2118*I2118</f>
        <v>0</v>
      </c>
    </row>
    <row r="2119" spans="1:10" ht="12" customHeight="1">
      <c r="A2119" s="13" t="s">
        <v>574</v>
      </c>
      <c r="B2119" s="13" t="s">
        <v>575</v>
      </c>
      <c r="C2119" s="13" t="s">
        <v>143</v>
      </c>
      <c r="D2119" s="13" t="s">
        <v>28</v>
      </c>
      <c r="E2119" s="13" t="s">
        <v>93</v>
      </c>
      <c r="F2119" s="13" t="s">
        <v>576</v>
      </c>
      <c r="G2119" s="20" t="str">
        <f>HYPERLINK("https://semena-nn.ru/catalog/46/999000011717","Фото")</f>
        <v>Фото</v>
      </c>
      <c r="H2119" s="19">
        <v>95.29</v>
      </c>
      <c r="I2119" s="27"/>
      <c r="J2119" s="13">
        <f>H2119*I2119</f>
        <v>0</v>
      </c>
    </row>
    <row r="2120" spans="1:10" ht="12" customHeight="1">
      <c r="A2120" s="13" t="s">
        <v>577</v>
      </c>
      <c r="B2120" s="13" t="s">
        <v>578</v>
      </c>
      <c r="C2120" s="13" t="s">
        <v>143</v>
      </c>
      <c r="D2120" s="13" t="s">
        <v>28</v>
      </c>
      <c r="E2120" s="13" t="s">
        <v>93</v>
      </c>
      <c r="F2120" s="13" t="s">
        <v>579</v>
      </c>
      <c r="G2120" s="20" t="str">
        <f>HYPERLINK("https://semena-nn.ru/catalog/46/999000011988","Фото")</f>
        <v>Фото</v>
      </c>
      <c r="H2120" s="19">
        <v>25.31</v>
      </c>
      <c r="I2120" s="27"/>
      <c r="J2120" s="13">
        <f>H2120*I2120</f>
        <v>0</v>
      </c>
    </row>
    <row r="2121" spans="1:10" ht="12" customHeight="1">
      <c r="A2121" s="13" t="s">
        <v>5566</v>
      </c>
      <c r="B2121" s="13" t="s">
        <v>5567</v>
      </c>
      <c r="C2121" s="13" t="s">
        <v>143</v>
      </c>
      <c r="D2121" s="13" t="s">
        <v>5136</v>
      </c>
      <c r="E2121" s="13" t="s">
        <v>93</v>
      </c>
      <c r="F2121" s="13" t="s">
        <v>5568</v>
      </c>
      <c r="G2121" s="20" t="str">
        <f>HYPERLINK("https://semena-nn.ru/catalog/46/999000019923","Фото")</f>
        <v>Фото</v>
      </c>
      <c r="H2121" s="18">
        <v>67.5</v>
      </c>
      <c r="I2121" s="27"/>
      <c r="J2121" s="13">
        <f>H2121*I2121</f>
        <v>0</v>
      </c>
    </row>
    <row r="2122" spans="1:10" ht="12" customHeight="1">
      <c r="A2122" s="13" t="s">
        <v>7677</v>
      </c>
      <c r="B2122" s="13" t="s">
        <v>7678</v>
      </c>
      <c r="C2122" s="13" t="s">
        <v>143</v>
      </c>
      <c r="D2122" s="13" t="s">
        <v>7148</v>
      </c>
      <c r="E2122" s="13" t="s">
        <v>93</v>
      </c>
      <c r="F2122" s="13" t="s">
        <v>7679</v>
      </c>
      <c r="G2122" s="20" t="str">
        <f>HYPERLINK("https://semena-nn.ru/catalog/46/999000007910","Фото")</f>
        <v>Фото</v>
      </c>
      <c r="H2122" s="18">
        <v>85.7</v>
      </c>
      <c r="I2122" s="27"/>
      <c r="J2122" s="13">
        <f>H2122*I2122</f>
        <v>0</v>
      </c>
    </row>
    <row r="2123" spans="1:10" ht="12" customHeight="1">
      <c r="A2123" s="13" t="s">
        <v>5569</v>
      </c>
      <c r="B2123" s="13" t="s">
        <v>5570</v>
      </c>
      <c r="C2123" s="13" t="s">
        <v>143</v>
      </c>
      <c r="D2123" s="13" t="s">
        <v>5136</v>
      </c>
      <c r="E2123" s="13" t="s">
        <v>93</v>
      </c>
      <c r="F2123" s="13" t="s">
        <v>5571</v>
      </c>
      <c r="G2123" s="20" t="str">
        <f>HYPERLINK("https://semena-nn.ru/catalog/46/999000019924","Фото")</f>
        <v>Фото</v>
      </c>
      <c r="H2123" s="15">
        <v>72</v>
      </c>
      <c r="I2123" s="27"/>
      <c r="J2123" s="13">
        <f>H2123*I2123</f>
        <v>0</v>
      </c>
    </row>
    <row r="2124" spans="1:10" ht="12" customHeight="1">
      <c r="A2124" s="13" t="s">
        <v>5572</v>
      </c>
      <c r="B2124" s="13" t="s">
        <v>5573</v>
      </c>
      <c r="C2124" s="13" t="s">
        <v>143</v>
      </c>
      <c r="D2124" s="13" t="s">
        <v>5136</v>
      </c>
      <c r="E2124" s="13" t="s">
        <v>93</v>
      </c>
      <c r="F2124" s="13" t="s">
        <v>5574</v>
      </c>
      <c r="G2124" s="20" t="str">
        <f>HYPERLINK("https://semena-nn.ru/catalog/46/888000007452","Фото")</f>
        <v>Фото</v>
      </c>
      <c r="H2124" s="15">
        <v>72</v>
      </c>
      <c r="I2124" s="27"/>
      <c r="J2124" s="13">
        <f>H2124*I2124</f>
        <v>0</v>
      </c>
    </row>
    <row r="2125" spans="1:10" ht="12" customHeight="1">
      <c r="A2125" s="13" t="s">
        <v>5575</v>
      </c>
      <c r="B2125" s="13" t="s">
        <v>5576</v>
      </c>
      <c r="C2125" s="13" t="s">
        <v>143</v>
      </c>
      <c r="D2125" s="13" t="s">
        <v>5136</v>
      </c>
      <c r="E2125" s="13" t="s">
        <v>93</v>
      </c>
      <c r="F2125" s="13" t="s">
        <v>5577</v>
      </c>
      <c r="G2125" s="20" t="str">
        <f>HYPERLINK("https://semena-nn.ru/catalog/46/999000019925","Фото")</f>
        <v>Фото</v>
      </c>
      <c r="H2125" s="15">
        <v>67</v>
      </c>
      <c r="I2125" s="27"/>
      <c r="J2125" s="13">
        <f>H2125*I2125</f>
        <v>0</v>
      </c>
    </row>
    <row r="2126" spans="1:10" ht="12" customHeight="1">
      <c r="A2126" s="13" t="s">
        <v>1842</v>
      </c>
      <c r="B2126" s="13" t="s">
        <v>1843</v>
      </c>
      <c r="C2126" s="13" t="s">
        <v>143</v>
      </c>
      <c r="D2126" s="13" t="s">
        <v>697</v>
      </c>
      <c r="E2126" s="13" t="s">
        <v>93</v>
      </c>
      <c r="F2126" s="13" t="s">
        <v>1844</v>
      </c>
      <c r="G2126" s="20" t="str">
        <f>HYPERLINK("https://semena-nn.ru/catalog/46/999000006281","Фото")</f>
        <v>Фото</v>
      </c>
      <c r="H2126" s="18">
        <v>21.7</v>
      </c>
      <c r="I2126" s="27"/>
      <c r="J2126" s="13">
        <f>H2126*I2126</f>
        <v>0</v>
      </c>
    </row>
    <row r="2127" spans="1:10" ht="12" customHeight="1">
      <c r="A2127" s="13" t="s">
        <v>8668</v>
      </c>
      <c r="B2127" s="13" t="s">
        <v>8669</v>
      </c>
      <c r="C2127" s="13" t="s">
        <v>143</v>
      </c>
      <c r="D2127" s="13" t="s">
        <v>8498</v>
      </c>
      <c r="E2127" s="13" t="s">
        <v>93</v>
      </c>
      <c r="F2127" s="13" t="s">
        <v>8670</v>
      </c>
      <c r="G2127" s="20" t="str">
        <f>HYPERLINK("http://semena-nn.ru/catalog/46/105672","Фото")</f>
        <v>Фото</v>
      </c>
      <c r="H2127" s="19">
        <v>20.85</v>
      </c>
      <c r="I2127" s="27"/>
      <c r="J2127" s="13">
        <f>H2127*I2127</f>
        <v>0</v>
      </c>
    </row>
    <row r="2128" spans="1:10" ht="12" customHeight="1">
      <c r="A2128" s="13" t="s">
        <v>4273</v>
      </c>
      <c r="B2128" s="13" t="s">
        <v>4274</v>
      </c>
      <c r="C2128" s="13" t="s">
        <v>143</v>
      </c>
      <c r="D2128" s="13" t="s">
        <v>3475</v>
      </c>
      <c r="E2128" s="13" t="s">
        <v>93</v>
      </c>
      <c r="F2128" s="13" t="s">
        <v>4275</v>
      </c>
      <c r="G2128" s="20" t="str">
        <f>HYPERLINK("https://semena-nn.ru/catalog/46/7018","Фото")</f>
        <v>Фото</v>
      </c>
      <c r="H2128" s="19">
        <v>52.95</v>
      </c>
      <c r="I2128" s="27"/>
      <c r="J2128" s="13">
        <f>H2128*I2128</f>
        <v>0</v>
      </c>
    </row>
    <row r="2129" spans="1:10" ht="12" customHeight="1">
      <c r="A2129" s="13" t="s">
        <v>7680</v>
      </c>
      <c r="B2129" s="13" t="s">
        <v>7681</v>
      </c>
      <c r="C2129" s="13" t="s">
        <v>143</v>
      </c>
      <c r="D2129" s="13" t="s">
        <v>7148</v>
      </c>
      <c r="E2129" s="13" t="s">
        <v>93</v>
      </c>
      <c r="F2129" s="13" t="s">
        <v>7682</v>
      </c>
      <c r="G2129" s="20" t="str">
        <f>HYPERLINK("https://semena-nn.ru/catalog/46/888000001647","Фото")</f>
        <v>Фото</v>
      </c>
      <c r="H2129" s="18">
        <v>95.8</v>
      </c>
      <c r="I2129" s="27"/>
      <c r="J2129" s="13">
        <f>H2129*I2129</f>
        <v>0</v>
      </c>
    </row>
    <row r="2130" spans="1:10" ht="12" customHeight="1">
      <c r="A2130" s="13" t="s">
        <v>8475</v>
      </c>
      <c r="B2130" s="13" t="s">
        <v>8476</v>
      </c>
      <c r="C2130" s="13" t="s">
        <v>143</v>
      </c>
      <c r="D2130" s="13" t="s">
        <v>8317</v>
      </c>
      <c r="E2130" s="13" t="s">
        <v>93</v>
      </c>
      <c r="F2130" s="13" t="s">
        <v>8477</v>
      </c>
      <c r="G2130" s="20" t="str">
        <f>HYPERLINK("https://semena-nn.ru/catalog/46/999000021426","Фото")</f>
        <v>Фото</v>
      </c>
      <c r="H2130" s="18">
        <v>143.30000000000001</v>
      </c>
      <c r="I2130" s="27"/>
      <c r="J2130" s="13">
        <f>H2130*I2130</f>
        <v>0</v>
      </c>
    </row>
    <row r="2131" spans="1:10" ht="12" customHeight="1">
      <c r="A2131" s="13" t="s">
        <v>8478</v>
      </c>
      <c r="B2131" s="13" t="s">
        <v>8479</v>
      </c>
      <c r="C2131" s="13" t="s">
        <v>143</v>
      </c>
      <c r="D2131" s="13" t="s">
        <v>8317</v>
      </c>
      <c r="E2131" s="13" t="s">
        <v>93</v>
      </c>
      <c r="F2131" s="13" t="s">
        <v>8480</v>
      </c>
      <c r="G2131" s="20" t="str">
        <f>HYPERLINK("https://semena-nn.ru/catalog/46/999000021425","Фото")</f>
        <v>Фото</v>
      </c>
      <c r="H2131" s="18">
        <v>143.30000000000001</v>
      </c>
      <c r="I2131" s="27"/>
      <c r="J2131" s="13">
        <f>H2131*I2131</f>
        <v>0</v>
      </c>
    </row>
    <row r="2132" spans="1:10" ht="12" customHeight="1">
      <c r="A2132" s="13" t="s">
        <v>8950</v>
      </c>
      <c r="B2132" s="13" t="s">
        <v>8951</v>
      </c>
      <c r="C2132" s="13" t="s">
        <v>143</v>
      </c>
      <c r="D2132" s="13" t="s">
        <v>8717</v>
      </c>
      <c r="E2132" s="13" t="s">
        <v>93</v>
      </c>
      <c r="F2132" s="17" t="s">
        <v>8952</v>
      </c>
      <c r="G2132" s="20" t="str">
        <f>HYPERLINK("http://semena-nn.ru/catalog/46/1311817","Фото")</f>
        <v>Фото</v>
      </c>
      <c r="H2132" s="18">
        <v>21.5</v>
      </c>
      <c r="I2132" s="27"/>
      <c r="J2132" s="13">
        <f>H2132*I2132</f>
        <v>0</v>
      </c>
    </row>
    <row r="2133" spans="1:10" ht="12" customHeight="1">
      <c r="A2133" s="13" t="s">
        <v>190</v>
      </c>
      <c r="B2133" s="13" t="s">
        <v>191</v>
      </c>
      <c r="C2133" s="13" t="s">
        <v>143</v>
      </c>
      <c r="D2133" s="13" t="s">
        <v>92</v>
      </c>
      <c r="E2133" s="13" t="s">
        <v>93</v>
      </c>
      <c r="F2133" s="13" t="s">
        <v>192</v>
      </c>
      <c r="G2133" s="20" t="str">
        <f>HYPERLINK("https://semena-nn.ru/catalog/46/1303115","Фото")</f>
        <v>Фото</v>
      </c>
      <c r="H2133" s="18">
        <v>79.400000000000006</v>
      </c>
      <c r="I2133" s="27"/>
      <c r="J2133" s="13">
        <f>H2133*I2133</f>
        <v>0</v>
      </c>
    </row>
    <row r="2134" spans="1:10" ht="12" customHeight="1">
      <c r="A2134" s="13" t="s">
        <v>5116</v>
      </c>
      <c r="B2134" s="13" t="s">
        <v>5117</v>
      </c>
      <c r="C2134" s="13" t="s">
        <v>143</v>
      </c>
      <c r="D2134" s="13" t="s">
        <v>5045</v>
      </c>
      <c r="E2134" s="13" t="s">
        <v>93</v>
      </c>
      <c r="F2134" s="13" t="s">
        <v>5118</v>
      </c>
      <c r="G2134" s="20" t="str">
        <f>HYPERLINK("http://semena-nn.ru/catalog/46/1010","Фото")</f>
        <v>Фото</v>
      </c>
      <c r="H2134" s="18">
        <v>26.5</v>
      </c>
      <c r="I2134" s="27"/>
      <c r="J2134" s="13">
        <f>H2134*I2134</f>
        <v>0</v>
      </c>
    </row>
    <row r="2135" spans="1:10" ht="12" customHeight="1">
      <c r="A2135" s="13" t="s">
        <v>7683</v>
      </c>
      <c r="B2135" s="13" t="s">
        <v>7684</v>
      </c>
      <c r="C2135" s="13" t="s">
        <v>143</v>
      </c>
      <c r="D2135" s="13" t="s">
        <v>7148</v>
      </c>
      <c r="E2135" s="13" t="s">
        <v>93</v>
      </c>
      <c r="F2135" s="13" t="s">
        <v>7685</v>
      </c>
      <c r="G2135" s="20" t="str">
        <f>HYPERLINK("https://semena-nn.ru/catalog/46/999000001279","Фото")</f>
        <v>Фото</v>
      </c>
      <c r="H2135" s="18">
        <v>65.5</v>
      </c>
      <c r="I2135" s="27"/>
      <c r="J2135" s="13">
        <f>H2135*I2135</f>
        <v>0</v>
      </c>
    </row>
    <row r="2136" spans="1:10" ht="12" customHeight="1">
      <c r="A2136" s="13" t="s">
        <v>4276</v>
      </c>
      <c r="B2136" s="13" t="s">
        <v>4277</v>
      </c>
      <c r="C2136" s="13" t="s">
        <v>143</v>
      </c>
      <c r="D2136" s="13" t="s">
        <v>3475</v>
      </c>
      <c r="E2136" s="13" t="s">
        <v>93</v>
      </c>
      <c r="F2136" s="13" t="s">
        <v>4278</v>
      </c>
      <c r="G2136" s="20" t="str">
        <f>HYPERLINK("https://semena-nn.ru/catalog/46/1303891","Фото")</f>
        <v>Фото</v>
      </c>
      <c r="H2136" s="19">
        <v>32.950000000000003</v>
      </c>
      <c r="I2136" s="27"/>
      <c r="J2136" s="13">
        <f>H2136*I2136</f>
        <v>0</v>
      </c>
    </row>
    <row r="2137" spans="1:10" ht="12" customHeight="1">
      <c r="A2137" s="13" t="s">
        <v>7119</v>
      </c>
      <c r="B2137" s="13" t="s">
        <v>7120</v>
      </c>
      <c r="C2137" s="13" t="s">
        <v>143</v>
      </c>
      <c r="D2137" s="13" t="s">
        <v>6927</v>
      </c>
      <c r="E2137" s="13" t="s">
        <v>93</v>
      </c>
      <c r="F2137" s="13" t="s">
        <v>7121</v>
      </c>
      <c r="G2137" s="20" t="str">
        <f>HYPERLINK("https://semena-nn.ru/catalog/46/999000013288","Фото")</f>
        <v>Фото</v>
      </c>
      <c r="H2137" s="18">
        <v>36.1</v>
      </c>
      <c r="I2137" s="27"/>
      <c r="J2137" s="13">
        <f>H2137*I2137</f>
        <v>0</v>
      </c>
    </row>
    <row r="2138" spans="1:10" ht="12" customHeight="1">
      <c r="A2138" s="13" t="s">
        <v>1845</v>
      </c>
      <c r="B2138" s="13" t="s">
        <v>1846</v>
      </c>
      <c r="C2138" s="13" t="s">
        <v>143</v>
      </c>
      <c r="D2138" s="13" t="s">
        <v>697</v>
      </c>
      <c r="E2138" s="13" t="s">
        <v>93</v>
      </c>
      <c r="F2138" s="13" t="s">
        <v>1847</v>
      </c>
      <c r="G2138" s="20" t="str">
        <f>HYPERLINK("https://semena-nn.ru/catalog/46/888000000436","Фото")</f>
        <v>Фото</v>
      </c>
      <c r="H2138" s="19">
        <v>23.85</v>
      </c>
      <c r="I2138" s="27"/>
      <c r="J2138" s="13">
        <f>H2138*I2138</f>
        <v>0</v>
      </c>
    </row>
    <row r="2139" spans="1:10" ht="12" customHeight="1">
      <c r="A2139" s="13" t="s">
        <v>8671</v>
      </c>
      <c r="B2139" s="13" t="s">
        <v>8672</v>
      </c>
      <c r="C2139" s="13" t="s">
        <v>143</v>
      </c>
      <c r="D2139" s="13" t="s">
        <v>8498</v>
      </c>
      <c r="E2139" s="13" t="s">
        <v>93</v>
      </c>
      <c r="F2139" s="13" t="s">
        <v>8673</v>
      </c>
      <c r="G2139" s="20" t="str">
        <f>HYPERLINK("http://semena-nn.ru/catalog/46/105675","Фото")</f>
        <v>Фото</v>
      </c>
      <c r="H2139" s="19">
        <v>24.15</v>
      </c>
      <c r="I2139" s="27"/>
      <c r="J2139" s="13">
        <f>H2139*I2139</f>
        <v>0</v>
      </c>
    </row>
    <row r="2140" spans="1:10" ht="12" customHeight="1">
      <c r="A2140" s="13" t="s">
        <v>580</v>
      </c>
      <c r="B2140" s="13" t="s">
        <v>581</v>
      </c>
      <c r="C2140" s="13" t="s">
        <v>143</v>
      </c>
      <c r="D2140" s="13" t="s">
        <v>28</v>
      </c>
      <c r="E2140" s="13" t="s">
        <v>93</v>
      </c>
      <c r="F2140" s="13" t="s">
        <v>582</v>
      </c>
      <c r="G2140" s="20" t="str">
        <f>HYPERLINK("https://semena-nn.ru/catalog/46/999000011485","Фото")</f>
        <v>Фото</v>
      </c>
      <c r="H2140" s="19">
        <v>57.23</v>
      </c>
      <c r="I2140" s="27"/>
      <c r="J2140" s="13">
        <f>H2140*I2140</f>
        <v>0</v>
      </c>
    </row>
    <row r="2141" spans="1:10" ht="12" customHeight="1">
      <c r="A2141" s="13" t="s">
        <v>8953</v>
      </c>
      <c r="B2141" s="13" t="s">
        <v>8954</v>
      </c>
      <c r="C2141" s="13" t="s">
        <v>143</v>
      </c>
      <c r="D2141" s="13" t="s">
        <v>8717</v>
      </c>
      <c r="E2141" s="13" t="s">
        <v>93</v>
      </c>
      <c r="F2141" s="13" t="s">
        <v>8955</v>
      </c>
      <c r="G2141" s="20" t="str">
        <f>HYPERLINK("http://semena-nn.ru/catalog/46/1305058","Фото")</f>
        <v>Фото</v>
      </c>
      <c r="H2141" s="18">
        <v>21.5</v>
      </c>
      <c r="I2141" s="27"/>
      <c r="J2141" s="13">
        <f>H2141*I2141</f>
        <v>0</v>
      </c>
    </row>
    <row r="2142" spans="1:10" ht="12" customHeight="1">
      <c r="A2142" s="13" t="s">
        <v>7686</v>
      </c>
      <c r="B2142" s="13" t="s">
        <v>7687</v>
      </c>
      <c r="C2142" s="13" t="s">
        <v>143</v>
      </c>
      <c r="D2142" s="13" t="s">
        <v>7148</v>
      </c>
      <c r="E2142" s="13" t="s">
        <v>93</v>
      </c>
      <c r="F2142" s="13" t="s">
        <v>7688</v>
      </c>
      <c r="G2142" s="20" t="str">
        <f>HYPERLINK("http://semena-nn.ru/catalog/46/1314940","Фото")</f>
        <v>Фото</v>
      </c>
      <c r="H2142" s="18">
        <v>65.5</v>
      </c>
      <c r="I2142" s="27"/>
      <c r="J2142" s="13">
        <f>H2142*I2142</f>
        <v>0</v>
      </c>
    </row>
    <row r="2143" spans="1:10" ht="12" customHeight="1">
      <c r="A2143" s="13" t="s">
        <v>193</v>
      </c>
      <c r="B2143" s="13" t="s">
        <v>194</v>
      </c>
      <c r="C2143" s="13" t="s">
        <v>143</v>
      </c>
      <c r="D2143" s="13" t="s">
        <v>92</v>
      </c>
      <c r="E2143" s="13" t="s">
        <v>93</v>
      </c>
      <c r="F2143" s="13" t="s">
        <v>195</v>
      </c>
      <c r="G2143" s="20" t="str">
        <f>HYPERLINK("https://semena-nn.ru/catalog/46/888000000203","Фото")</f>
        <v>Фото</v>
      </c>
      <c r="H2143" s="19">
        <v>105.85</v>
      </c>
      <c r="I2143" s="27"/>
      <c r="J2143" s="13">
        <f>H2143*I2143</f>
        <v>0</v>
      </c>
    </row>
    <row r="2144" spans="1:10" ht="12" customHeight="1">
      <c r="A2144" s="13" t="s">
        <v>8956</v>
      </c>
      <c r="B2144" s="13" t="s">
        <v>8957</v>
      </c>
      <c r="C2144" s="13" t="s">
        <v>143</v>
      </c>
      <c r="D2144" s="13" t="s">
        <v>8717</v>
      </c>
      <c r="E2144" s="13" t="s">
        <v>93</v>
      </c>
      <c r="F2144" s="13" t="s">
        <v>8958</v>
      </c>
      <c r="G2144" s="20" t="str">
        <f>HYPERLINK("https://semena-nn.ru/catalog/46/999000020210","Фото")</f>
        <v>Фото</v>
      </c>
      <c r="H2144" s="15">
        <v>19</v>
      </c>
      <c r="I2144" s="27"/>
      <c r="J2144" s="13">
        <f>H2144*I2144</f>
        <v>0</v>
      </c>
    </row>
    <row r="2145" spans="1:10" ht="12" customHeight="1">
      <c r="A2145" s="13" t="s">
        <v>1848</v>
      </c>
      <c r="B2145" s="13" t="s">
        <v>1849</v>
      </c>
      <c r="C2145" s="13" t="s">
        <v>143</v>
      </c>
      <c r="D2145" s="13" t="s">
        <v>697</v>
      </c>
      <c r="E2145" s="13" t="s">
        <v>93</v>
      </c>
      <c r="F2145" s="13" t="s">
        <v>1850</v>
      </c>
      <c r="G2145" s="20" t="str">
        <f>HYPERLINK("https://semena-nn.ru/catalog/46/999000009182","Фото")</f>
        <v>Фото</v>
      </c>
      <c r="H2145" s="19">
        <v>25.15</v>
      </c>
      <c r="I2145" s="27"/>
      <c r="J2145" s="13">
        <f>H2145*I2145</f>
        <v>0</v>
      </c>
    </row>
    <row r="2146" spans="1:10" ht="12" customHeight="1">
      <c r="A2146" s="13" t="s">
        <v>1851</v>
      </c>
      <c r="B2146" s="13" t="s">
        <v>1852</v>
      </c>
      <c r="C2146" s="13" t="s">
        <v>143</v>
      </c>
      <c r="D2146" s="13" t="s">
        <v>697</v>
      </c>
      <c r="E2146" s="13" t="s">
        <v>93</v>
      </c>
      <c r="F2146" s="13" t="s">
        <v>1853</v>
      </c>
      <c r="G2146" s="20" t="str">
        <f>HYPERLINK("https://semena-nn.ru/catalog/46/999000013128","Фото")</f>
        <v>Фото</v>
      </c>
      <c r="H2146" s="15">
        <v>24</v>
      </c>
      <c r="I2146" s="27"/>
      <c r="J2146" s="13">
        <f>H2146*I2146</f>
        <v>0</v>
      </c>
    </row>
    <row r="2147" spans="1:10" ht="12" customHeight="1">
      <c r="A2147" s="13" t="s">
        <v>8674</v>
      </c>
      <c r="B2147" s="13" t="s">
        <v>8675</v>
      </c>
      <c r="C2147" s="13" t="s">
        <v>143</v>
      </c>
      <c r="D2147" s="13" t="s">
        <v>8498</v>
      </c>
      <c r="E2147" s="13" t="s">
        <v>93</v>
      </c>
      <c r="F2147" s="17" t="s">
        <v>8676</v>
      </c>
      <c r="G2147" s="20" t="str">
        <f>HYPERLINK("https://semena-nn.ru/catalog/46/999000009578","Фото")</f>
        <v>Фото</v>
      </c>
      <c r="H2147" s="18">
        <v>39.799999999999997</v>
      </c>
      <c r="I2147" s="27"/>
      <c r="J2147" s="13">
        <f>H2147*I2147</f>
        <v>0</v>
      </c>
    </row>
    <row r="2148" spans="1:10" ht="12" customHeight="1">
      <c r="A2148" s="13" t="s">
        <v>6602</v>
      </c>
      <c r="B2148" s="13" t="s">
        <v>6603</v>
      </c>
      <c r="C2148" s="13" t="s">
        <v>143</v>
      </c>
      <c r="D2148" s="13" t="s">
        <v>87</v>
      </c>
      <c r="E2148" s="13" t="s">
        <v>93</v>
      </c>
      <c r="F2148" s="13" t="s">
        <v>6604</v>
      </c>
      <c r="G2148" s="20" t="str">
        <f>HYPERLINK("https://semena-nn.ru/catalog/46/999000013037","Фото")</f>
        <v>Фото</v>
      </c>
      <c r="H2148" s="19">
        <v>26.25</v>
      </c>
      <c r="I2148" s="27"/>
      <c r="J2148" s="13">
        <f>H2148*I2148</f>
        <v>0</v>
      </c>
    </row>
    <row r="2149" spans="1:10" ht="12" customHeight="1">
      <c r="A2149" s="13" t="s">
        <v>6605</v>
      </c>
      <c r="B2149" s="13" t="s">
        <v>6606</v>
      </c>
      <c r="C2149" s="13" t="s">
        <v>143</v>
      </c>
      <c r="D2149" s="13" t="s">
        <v>87</v>
      </c>
      <c r="E2149" s="13" t="s">
        <v>93</v>
      </c>
      <c r="F2149" s="13" t="s">
        <v>6607</v>
      </c>
      <c r="G2149" s="20" t="str">
        <f>HYPERLINK("http://semena-nn.ru/catalog/46/999000004221","Фото")</f>
        <v>Фото</v>
      </c>
      <c r="H2149" s="18">
        <v>22.5</v>
      </c>
      <c r="I2149" s="27"/>
      <c r="J2149" s="13">
        <f>H2149*I2149</f>
        <v>0</v>
      </c>
    </row>
    <row r="2150" spans="1:10" ht="12" customHeight="1">
      <c r="A2150" s="13" t="s">
        <v>5578</v>
      </c>
      <c r="B2150" s="13" t="s">
        <v>5579</v>
      </c>
      <c r="C2150" s="13" t="s">
        <v>143</v>
      </c>
      <c r="D2150" s="13" t="s">
        <v>5136</v>
      </c>
      <c r="E2150" s="13" t="s">
        <v>93</v>
      </c>
      <c r="F2150" s="13" t="s">
        <v>5580</v>
      </c>
      <c r="G2150" s="20" t="str">
        <f>HYPERLINK("https://semena-nn.ru/catalog/46/999000019926","Фото")</f>
        <v>Фото</v>
      </c>
      <c r="H2150" s="15">
        <v>67</v>
      </c>
      <c r="I2150" s="27"/>
      <c r="J2150" s="13">
        <f>H2150*I2150</f>
        <v>0</v>
      </c>
    </row>
    <row r="2151" spans="1:10" ht="12" customHeight="1">
      <c r="A2151" s="13" t="s">
        <v>8270</v>
      </c>
      <c r="B2151" s="13" t="s">
        <v>8271</v>
      </c>
      <c r="C2151" s="13" t="s">
        <v>143</v>
      </c>
      <c r="D2151" s="13" t="s">
        <v>7728</v>
      </c>
      <c r="E2151" s="13" t="s">
        <v>93</v>
      </c>
      <c r="F2151" s="13" t="s">
        <v>8272</v>
      </c>
      <c r="G2151" s="20" t="str">
        <f>HYPERLINK("https://semena-nn.ru/catalog/46/999000020389","Фото")</f>
        <v>Фото</v>
      </c>
      <c r="H2151" s="18">
        <v>28.8</v>
      </c>
      <c r="I2151" s="27"/>
      <c r="J2151" s="13">
        <f>H2151*I2151</f>
        <v>0</v>
      </c>
    </row>
    <row r="2152" spans="1:10" ht="12" customHeight="1">
      <c r="A2152" s="13" t="s">
        <v>5119</v>
      </c>
      <c r="B2152" s="13" t="s">
        <v>5120</v>
      </c>
      <c r="C2152" s="13" t="s">
        <v>143</v>
      </c>
      <c r="D2152" s="13" t="s">
        <v>5045</v>
      </c>
      <c r="E2152" s="13" t="s">
        <v>93</v>
      </c>
      <c r="F2152" s="13" t="s">
        <v>5121</v>
      </c>
      <c r="G2152" s="20" t="str">
        <f>HYPERLINK("http://semena-nn.ru/catalog/46/94836","Фото")</f>
        <v>Фото</v>
      </c>
      <c r="H2152" s="19">
        <v>27.75</v>
      </c>
      <c r="I2152" s="27"/>
      <c r="J2152" s="13">
        <f>H2152*I2152</f>
        <v>0</v>
      </c>
    </row>
    <row r="2153" spans="1:10" ht="12" customHeight="1">
      <c r="A2153" s="13" t="s">
        <v>5581</v>
      </c>
      <c r="B2153" s="13" t="s">
        <v>5582</v>
      </c>
      <c r="C2153" s="13" t="s">
        <v>143</v>
      </c>
      <c r="D2153" s="13" t="s">
        <v>5136</v>
      </c>
      <c r="E2153" s="13" t="s">
        <v>93</v>
      </c>
      <c r="F2153" s="13" t="s">
        <v>5583</v>
      </c>
      <c r="G2153" s="20" t="str">
        <f>HYPERLINK("https://semena-nn.ru/catalog/46/999000020417","Фото")</f>
        <v>Фото</v>
      </c>
      <c r="H2153" s="18">
        <v>35.6</v>
      </c>
      <c r="I2153" s="27"/>
      <c r="J2153" s="13">
        <f>H2153*I2153</f>
        <v>0</v>
      </c>
    </row>
    <row r="2154" spans="1:10" ht="12" customHeight="1">
      <c r="A2154" s="13" t="s">
        <v>5584</v>
      </c>
      <c r="B2154" s="13" t="s">
        <v>5585</v>
      </c>
      <c r="C2154" s="13" t="s">
        <v>143</v>
      </c>
      <c r="D2154" s="13" t="s">
        <v>5136</v>
      </c>
      <c r="E2154" s="13" t="s">
        <v>93</v>
      </c>
      <c r="F2154" s="13" t="s">
        <v>5586</v>
      </c>
      <c r="G2154" s="20" t="str">
        <f>HYPERLINK("https://semena-nn.ru/catalog/46/999000020418","Фото")</f>
        <v>Фото</v>
      </c>
      <c r="H2154" s="15">
        <v>87</v>
      </c>
      <c r="I2154" s="27"/>
      <c r="J2154" s="13">
        <f>H2154*I2154</f>
        <v>0</v>
      </c>
    </row>
    <row r="2155" spans="1:10" ht="12" customHeight="1">
      <c r="A2155" s="13" t="s">
        <v>5587</v>
      </c>
      <c r="B2155" s="13" t="s">
        <v>5588</v>
      </c>
      <c r="C2155" s="13" t="s">
        <v>143</v>
      </c>
      <c r="D2155" s="13" t="s">
        <v>5136</v>
      </c>
      <c r="E2155" s="13" t="s">
        <v>93</v>
      </c>
      <c r="F2155" s="13" t="s">
        <v>5589</v>
      </c>
      <c r="G2155" s="20" t="str">
        <f>HYPERLINK("https://semena-nn.ru/catalog/46/999000020419","Фото")</f>
        <v>Фото</v>
      </c>
      <c r="H2155" s="15">
        <v>60</v>
      </c>
      <c r="I2155" s="27"/>
      <c r="J2155" s="13">
        <f>H2155*I2155</f>
        <v>0</v>
      </c>
    </row>
    <row r="2156" spans="1:10" ht="12" customHeight="1">
      <c r="A2156" s="13" t="s">
        <v>8481</v>
      </c>
      <c r="B2156" s="13" t="s">
        <v>8482</v>
      </c>
      <c r="C2156" s="13" t="s">
        <v>143</v>
      </c>
      <c r="D2156" s="13" t="s">
        <v>8317</v>
      </c>
      <c r="E2156" s="13" t="s">
        <v>93</v>
      </c>
      <c r="F2156" s="13" t="s">
        <v>8483</v>
      </c>
      <c r="G2156" s="20" t="str">
        <f>HYPERLINK("https://semena-nn.ru/catalog/46/1303094","Фото")</f>
        <v>Фото</v>
      </c>
      <c r="H2156" s="18">
        <v>170.9</v>
      </c>
      <c r="I2156" s="27"/>
      <c r="J2156" s="13">
        <f>H2156*I2156</f>
        <v>0</v>
      </c>
    </row>
    <row r="2157" spans="1:10" ht="12" customHeight="1">
      <c r="A2157" s="13" t="s">
        <v>8273</v>
      </c>
      <c r="B2157" s="13" t="s">
        <v>8274</v>
      </c>
      <c r="C2157" s="13" t="s">
        <v>143</v>
      </c>
      <c r="D2157" s="13" t="s">
        <v>7728</v>
      </c>
      <c r="E2157" s="13" t="s">
        <v>93</v>
      </c>
      <c r="F2157" s="13" t="s">
        <v>8275</v>
      </c>
      <c r="G2157" s="20" t="str">
        <f>HYPERLINK("https://semena-nn.ru/catalog/46/1307459","Фото")</f>
        <v>Фото</v>
      </c>
      <c r="H2157" s="19">
        <v>49.35</v>
      </c>
      <c r="I2157" s="27"/>
      <c r="J2157" s="13">
        <f>H2157*I2157</f>
        <v>0</v>
      </c>
    </row>
    <row r="2158" spans="1:10" ht="12" customHeight="1">
      <c r="A2158" s="13" t="s">
        <v>5590</v>
      </c>
      <c r="B2158" s="13" t="s">
        <v>5591</v>
      </c>
      <c r="C2158" s="13" t="s">
        <v>143</v>
      </c>
      <c r="D2158" s="13" t="s">
        <v>5136</v>
      </c>
      <c r="E2158" s="13" t="s">
        <v>93</v>
      </c>
      <c r="F2158" s="13" t="s">
        <v>5592</v>
      </c>
      <c r="G2158" s="20" t="str">
        <f>HYPERLINK("https://semena-nn.ru/catalog/46/888000001468","Фото")</f>
        <v>Фото</v>
      </c>
      <c r="H2158" s="15">
        <v>57</v>
      </c>
      <c r="I2158" s="27"/>
      <c r="J2158" s="13">
        <f>H2158*I2158</f>
        <v>0</v>
      </c>
    </row>
    <row r="2159" spans="1:10" ht="12" customHeight="1">
      <c r="A2159" s="13" t="s">
        <v>8484</v>
      </c>
      <c r="B2159" s="13" t="s">
        <v>8485</v>
      </c>
      <c r="C2159" s="13" t="s">
        <v>143</v>
      </c>
      <c r="D2159" s="13" t="s">
        <v>8317</v>
      </c>
      <c r="E2159" s="13" t="s">
        <v>93</v>
      </c>
      <c r="F2159" s="13" t="s">
        <v>8486</v>
      </c>
      <c r="G2159" s="20" t="str">
        <f>HYPERLINK("https://semena-nn.ru/catalog/46/1303300","Фото")</f>
        <v>Фото</v>
      </c>
      <c r="H2159" s="18">
        <v>132.30000000000001</v>
      </c>
      <c r="I2159" s="27"/>
      <c r="J2159" s="13">
        <f>H2159*I2159</f>
        <v>0</v>
      </c>
    </row>
    <row r="2160" spans="1:10" ht="12" customHeight="1">
      <c r="A2160" s="13" t="s">
        <v>7689</v>
      </c>
      <c r="B2160" s="13" t="s">
        <v>7690</v>
      </c>
      <c r="C2160" s="13" t="s">
        <v>143</v>
      </c>
      <c r="D2160" s="13" t="s">
        <v>7148</v>
      </c>
      <c r="E2160" s="13" t="s">
        <v>93</v>
      </c>
      <c r="F2160" s="13" t="s">
        <v>7691</v>
      </c>
      <c r="G2160" s="20" t="str">
        <f>HYPERLINK("https://semena-nn.ru/catalog/46/888000001634","Фото")</f>
        <v>Фото</v>
      </c>
      <c r="H2160" s="18">
        <v>176.4</v>
      </c>
      <c r="I2160" s="27"/>
      <c r="J2160" s="13">
        <f>H2160*I2160</f>
        <v>0</v>
      </c>
    </row>
    <row r="2161" spans="1:10" ht="12" customHeight="1">
      <c r="A2161" s="13" t="s">
        <v>7692</v>
      </c>
      <c r="B2161" s="13" t="s">
        <v>7693</v>
      </c>
      <c r="C2161" s="13" t="s">
        <v>143</v>
      </c>
      <c r="D2161" s="13" t="s">
        <v>7148</v>
      </c>
      <c r="E2161" s="13" t="s">
        <v>93</v>
      </c>
      <c r="F2161" s="13" t="s">
        <v>7694</v>
      </c>
      <c r="G2161" s="20" t="str">
        <f>HYPERLINK("https://semena-nn.ru/catalog/46/888000007574","Фото")</f>
        <v>Фото</v>
      </c>
      <c r="H2161" s="18">
        <v>166.3</v>
      </c>
      <c r="I2161" s="27"/>
      <c r="J2161" s="13">
        <f>H2161*I2161</f>
        <v>0</v>
      </c>
    </row>
    <row r="2162" spans="1:10" ht="12" customHeight="1">
      <c r="A2162" s="13" t="s">
        <v>8487</v>
      </c>
      <c r="B2162" s="13" t="s">
        <v>8488</v>
      </c>
      <c r="C2162" s="13" t="s">
        <v>143</v>
      </c>
      <c r="D2162" s="13" t="s">
        <v>8317</v>
      </c>
      <c r="E2162" s="13" t="s">
        <v>93</v>
      </c>
      <c r="F2162" s="13" t="s">
        <v>8489</v>
      </c>
      <c r="G2162" s="20" t="str">
        <f>HYPERLINK("https://semena-nn.ru/catalog/46/999000000609","Фото")</f>
        <v>Фото</v>
      </c>
      <c r="H2162" s="18">
        <v>165.4</v>
      </c>
      <c r="I2162" s="27"/>
      <c r="J2162" s="13">
        <f>H2162*I2162</f>
        <v>0</v>
      </c>
    </row>
    <row r="2163" spans="1:10" ht="12" customHeight="1">
      <c r="A2163" s="13" t="s">
        <v>5593</v>
      </c>
      <c r="B2163" s="13" t="s">
        <v>5594</v>
      </c>
      <c r="C2163" s="13" t="s">
        <v>143</v>
      </c>
      <c r="D2163" s="13" t="s">
        <v>5136</v>
      </c>
      <c r="E2163" s="13" t="s">
        <v>93</v>
      </c>
      <c r="F2163" s="13" t="s">
        <v>5595</v>
      </c>
      <c r="G2163" s="20" t="str">
        <f>HYPERLINK("https://semena-nn.ru/catalog/46/999000013248","Фото")</f>
        <v>Фото</v>
      </c>
      <c r="H2163" s="15">
        <v>75</v>
      </c>
      <c r="I2163" s="27"/>
      <c r="J2163" s="13">
        <f>H2163*I2163</f>
        <v>0</v>
      </c>
    </row>
    <row r="2164" spans="1:10" ht="12" customHeight="1">
      <c r="A2164" s="13" t="s">
        <v>5596</v>
      </c>
      <c r="B2164" s="13" t="s">
        <v>5597</v>
      </c>
      <c r="C2164" s="13" t="s">
        <v>143</v>
      </c>
      <c r="D2164" s="13" t="s">
        <v>5136</v>
      </c>
      <c r="E2164" s="13" t="s">
        <v>93</v>
      </c>
      <c r="F2164" s="13" t="s">
        <v>5598</v>
      </c>
      <c r="G2164" s="20" t="str">
        <f>HYPERLINK("https://semena-nn.ru/catalog/46/888000001469","Фото")</f>
        <v>Фото</v>
      </c>
      <c r="H2164" s="15">
        <v>57</v>
      </c>
      <c r="I2164" s="27"/>
      <c r="J2164" s="13">
        <f>H2164*I2164</f>
        <v>0</v>
      </c>
    </row>
    <row r="2165" spans="1:10" ht="12" customHeight="1">
      <c r="A2165" s="13" t="s">
        <v>8677</v>
      </c>
      <c r="B2165" s="13" t="s">
        <v>8678</v>
      </c>
      <c r="C2165" s="13" t="s">
        <v>143</v>
      </c>
      <c r="D2165" s="13" t="s">
        <v>8498</v>
      </c>
      <c r="E2165" s="13" t="s">
        <v>93</v>
      </c>
      <c r="F2165" s="13" t="s">
        <v>8679</v>
      </c>
      <c r="G2165" s="20" t="str">
        <f>HYPERLINK("http://semena-nn.ru/catalog/46/999000001741","Фото")</f>
        <v>Фото</v>
      </c>
      <c r="H2165" s="19">
        <v>20.95</v>
      </c>
      <c r="I2165" s="27"/>
      <c r="J2165" s="13">
        <f>H2165*I2165</f>
        <v>0</v>
      </c>
    </row>
    <row r="2166" spans="1:10" ht="12" customHeight="1">
      <c r="A2166" s="13" t="s">
        <v>1857</v>
      </c>
      <c r="B2166" s="13" t="s">
        <v>1858</v>
      </c>
      <c r="C2166" s="13" t="s">
        <v>143</v>
      </c>
      <c r="D2166" s="13" t="s">
        <v>697</v>
      </c>
      <c r="E2166" s="13" t="s">
        <v>93</v>
      </c>
      <c r="F2166" s="13" t="s">
        <v>1859</v>
      </c>
      <c r="G2166" s="20" t="str">
        <f>HYPERLINK("https://semena-nn.ru/catalog/46/999000009185","Фото")</f>
        <v>Фото</v>
      </c>
      <c r="H2166" s="19">
        <v>27.25</v>
      </c>
      <c r="I2166" s="27"/>
      <c r="J2166" s="13">
        <f>H2166*I2166</f>
        <v>0</v>
      </c>
    </row>
    <row r="2167" spans="1:10" ht="12" customHeight="1">
      <c r="A2167" s="13" t="s">
        <v>1854</v>
      </c>
      <c r="B2167" s="13" t="s">
        <v>1855</v>
      </c>
      <c r="C2167" s="13" t="s">
        <v>143</v>
      </c>
      <c r="D2167" s="13" t="s">
        <v>697</v>
      </c>
      <c r="E2167" s="13" t="s">
        <v>93</v>
      </c>
      <c r="F2167" s="13" t="s">
        <v>1856</v>
      </c>
      <c r="G2167" s="20" t="str">
        <f>HYPERLINK("https://semena-nn.ru/catalog/46/888000000429","Фото")</f>
        <v>Фото</v>
      </c>
      <c r="H2167" s="18">
        <v>29.4</v>
      </c>
      <c r="I2167" s="27"/>
      <c r="J2167" s="13">
        <f>H2167*I2167</f>
        <v>0</v>
      </c>
    </row>
    <row r="2168" spans="1:10" ht="12" customHeight="1">
      <c r="A2168" s="13" t="s">
        <v>4279</v>
      </c>
      <c r="B2168" s="13" t="s">
        <v>4280</v>
      </c>
      <c r="C2168" s="13" t="s">
        <v>143</v>
      </c>
      <c r="D2168" s="13" t="s">
        <v>3475</v>
      </c>
      <c r="E2168" s="13" t="s">
        <v>93</v>
      </c>
      <c r="F2168" s="13" t="s">
        <v>4281</v>
      </c>
      <c r="G2168" s="20" t="str">
        <f>HYPERLINK("https://semena-nn.ru/catalog/46/7019","Фото")</f>
        <v>Фото</v>
      </c>
      <c r="H2168" s="19">
        <v>31.75</v>
      </c>
      <c r="I2168" s="27"/>
      <c r="J2168" s="13">
        <f>H2168*I2168</f>
        <v>0</v>
      </c>
    </row>
    <row r="2169" spans="1:10" ht="12" customHeight="1">
      <c r="A2169" s="13" t="s">
        <v>5971</v>
      </c>
      <c r="B2169" s="13" t="s">
        <v>5972</v>
      </c>
      <c r="C2169" s="13" t="s">
        <v>143</v>
      </c>
      <c r="D2169" s="13" t="s">
        <v>5834</v>
      </c>
      <c r="E2169" s="13" t="s">
        <v>93</v>
      </c>
      <c r="F2169" s="13" t="s">
        <v>5973</v>
      </c>
      <c r="G2169" s="20" t="str">
        <f>HYPERLINK("https://semena-nn.ru/catalog/46/888000001582","Фото")</f>
        <v>Фото</v>
      </c>
      <c r="H2169" s="18">
        <v>33.6</v>
      </c>
      <c r="I2169" s="27"/>
      <c r="J2169" s="13">
        <f>H2169*I2169</f>
        <v>0</v>
      </c>
    </row>
    <row r="2170" spans="1:10" ht="12" customHeight="1">
      <c r="A2170" s="13" t="s">
        <v>583</v>
      </c>
      <c r="B2170" s="13" t="s">
        <v>584</v>
      </c>
      <c r="C2170" s="13" t="s">
        <v>143</v>
      </c>
      <c r="D2170" s="13" t="s">
        <v>28</v>
      </c>
      <c r="E2170" s="13" t="s">
        <v>93</v>
      </c>
      <c r="F2170" s="13" t="s">
        <v>585</v>
      </c>
      <c r="G2170" s="20" t="str">
        <f>HYPERLINK("https://semena-nn.ru/catalog/46/999000011228","Фото")</f>
        <v>Фото</v>
      </c>
      <c r="H2170" s="19">
        <v>33.08</v>
      </c>
      <c r="I2170" s="27"/>
      <c r="J2170" s="13">
        <f>H2170*I2170</f>
        <v>0</v>
      </c>
    </row>
    <row r="2171" spans="1:10" ht="12" customHeight="1">
      <c r="A2171" s="13" t="s">
        <v>8276</v>
      </c>
      <c r="B2171" s="13" t="s">
        <v>8277</v>
      </c>
      <c r="C2171" s="13" t="s">
        <v>143</v>
      </c>
      <c r="D2171" s="13" t="s">
        <v>7728</v>
      </c>
      <c r="E2171" s="13" t="s">
        <v>93</v>
      </c>
      <c r="F2171" s="13" t="s">
        <v>8278</v>
      </c>
      <c r="G2171" s="20" t="str">
        <f>HYPERLINK("https://semena-nn.ru/catalog/46/94456","Фото")</f>
        <v>Фото</v>
      </c>
      <c r="H2171" s="19">
        <v>23.75</v>
      </c>
      <c r="I2171" s="27"/>
      <c r="J2171" s="13">
        <f>H2171*I2171</f>
        <v>0</v>
      </c>
    </row>
    <row r="2172" spans="1:10" ht="12" customHeight="1">
      <c r="A2172" s="13" t="s">
        <v>5122</v>
      </c>
      <c r="B2172" s="13" t="s">
        <v>5123</v>
      </c>
      <c r="C2172" s="13" t="s">
        <v>143</v>
      </c>
      <c r="D2172" s="13" t="s">
        <v>5045</v>
      </c>
      <c r="E2172" s="13" t="s">
        <v>93</v>
      </c>
      <c r="F2172" s="17" t="s">
        <v>5124</v>
      </c>
      <c r="G2172" s="20" t="str">
        <f>HYPERLINK("http://semena-nn.ru/catalog/46/1120551","Фото")</f>
        <v>Фото</v>
      </c>
      <c r="H2172" s="15">
        <v>24</v>
      </c>
      <c r="I2172" s="27"/>
      <c r="J2172" s="13">
        <f>H2172*I2172</f>
        <v>0</v>
      </c>
    </row>
    <row r="2173" spans="1:10" ht="12" customHeight="1">
      <c r="A2173" s="13" t="s">
        <v>1860</v>
      </c>
      <c r="B2173" s="13" t="s">
        <v>1861</v>
      </c>
      <c r="C2173" s="13" t="s">
        <v>143</v>
      </c>
      <c r="D2173" s="13" t="s">
        <v>697</v>
      </c>
      <c r="E2173" s="13" t="s">
        <v>93</v>
      </c>
      <c r="F2173" s="13" t="s">
        <v>1862</v>
      </c>
      <c r="G2173" s="20" t="str">
        <f>HYPERLINK("https://semena-nn.ru/catalog/46/1312177","Фото")</f>
        <v>Фото</v>
      </c>
      <c r="H2173" s="15">
        <v>20</v>
      </c>
      <c r="I2173" s="27"/>
      <c r="J2173" s="13">
        <f>H2173*I2173</f>
        <v>0</v>
      </c>
    </row>
    <row r="2174" spans="1:10" ht="12" customHeight="1">
      <c r="A2174" s="13" t="s">
        <v>4282</v>
      </c>
      <c r="B2174" s="13" t="s">
        <v>4283</v>
      </c>
      <c r="C2174" s="13" t="s">
        <v>143</v>
      </c>
      <c r="D2174" s="13" t="s">
        <v>3475</v>
      </c>
      <c r="E2174" s="13" t="s">
        <v>93</v>
      </c>
      <c r="F2174" s="13" t="s">
        <v>4284</v>
      </c>
      <c r="G2174" s="20" t="str">
        <f>HYPERLINK("http://semena-nn.ru/catalog/46/102358","Фото")</f>
        <v>Фото</v>
      </c>
      <c r="H2174" s="18">
        <v>41.2</v>
      </c>
      <c r="I2174" s="27"/>
      <c r="J2174" s="13">
        <f>H2174*I2174</f>
        <v>0</v>
      </c>
    </row>
    <row r="2175" spans="1:10" ht="12" customHeight="1">
      <c r="A2175" s="13" t="s">
        <v>8959</v>
      </c>
      <c r="B2175" s="13" t="s">
        <v>8960</v>
      </c>
      <c r="C2175" s="13" t="s">
        <v>143</v>
      </c>
      <c r="D2175" s="13" t="s">
        <v>8717</v>
      </c>
      <c r="E2175" s="13" t="s">
        <v>93</v>
      </c>
      <c r="F2175" s="13" t="s">
        <v>8961</v>
      </c>
      <c r="G2175" s="20" t="str">
        <f>HYPERLINK("https://semena-nn.ru/catalog/46/999000009448","Фото")</f>
        <v>Фото</v>
      </c>
      <c r="H2175" s="18">
        <v>46.7</v>
      </c>
      <c r="I2175" s="27"/>
      <c r="J2175" s="13">
        <f>H2175*I2175</f>
        <v>0</v>
      </c>
    </row>
    <row r="2176" spans="1:10" ht="12" customHeight="1">
      <c r="A2176" s="13" t="s">
        <v>7695</v>
      </c>
      <c r="B2176" s="13" t="s">
        <v>7696</v>
      </c>
      <c r="C2176" s="13" t="s">
        <v>143</v>
      </c>
      <c r="D2176" s="13" t="s">
        <v>7148</v>
      </c>
      <c r="E2176" s="13" t="s">
        <v>93</v>
      </c>
      <c r="F2176" s="13" t="s">
        <v>7697</v>
      </c>
      <c r="G2176" s="20" t="str">
        <f>HYPERLINK("https://semena-nn.ru/catalog/46/1314253","Фото")</f>
        <v>Фото</v>
      </c>
      <c r="H2176" s="19">
        <v>65.58</v>
      </c>
      <c r="I2176" s="27"/>
      <c r="J2176" s="13">
        <f>H2176*I2176</f>
        <v>0</v>
      </c>
    </row>
    <row r="2177" spans="1:10" ht="12" customHeight="1">
      <c r="A2177" s="13" t="s">
        <v>4285</v>
      </c>
      <c r="B2177" s="13" t="s">
        <v>4286</v>
      </c>
      <c r="C2177" s="13" t="s">
        <v>143</v>
      </c>
      <c r="D2177" s="13" t="s">
        <v>3475</v>
      </c>
      <c r="E2177" s="13" t="s">
        <v>93</v>
      </c>
      <c r="F2177" s="13" t="s">
        <v>4287</v>
      </c>
      <c r="G2177" s="20" t="str">
        <f>HYPERLINK("https://semena-nn.ru/catalog/46/1123940","Фото")</f>
        <v>Фото</v>
      </c>
      <c r="H2177" s="18">
        <v>24.7</v>
      </c>
      <c r="I2177" s="27"/>
      <c r="J2177" s="13">
        <f>H2177*I2177</f>
        <v>0</v>
      </c>
    </row>
    <row r="2178" spans="1:10" ht="12" customHeight="1">
      <c r="A2178" s="13" t="s">
        <v>1863</v>
      </c>
      <c r="B2178" s="13" t="s">
        <v>1864</v>
      </c>
      <c r="C2178" s="13" t="s">
        <v>143</v>
      </c>
      <c r="D2178" s="13" t="s">
        <v>697</v>
      </c>
      <c r="E2178" s="13" t="s">
        <v>93</v>
      </c>
      <c r="F2178" s="13" t="s">
        <v>1865</v>
      </c>
      <c r="G2178" s="20" t="str">
        <f>HYPERLINK("https://semena-nn.ru/catalog/46/999000008061","Фото")</f>
        <v>Фото</v>
      </c>
      <c r="H2178" s="18">
        <v>28.2</v>
      </c>
      <c r="I2178" s="27"/>
      <c r="J2178" s="13">
        <f>H2178*I2178</f>
        <v>0</v>
      </c>
    </row>
    <row r="2179" spans="1:10" ht="12" customHeight="1">
      <c r="A2179" s="13" t="s">
        <v>4288</v>
      </c>
      <c r="B2179" s="13" t="s">
        <v>4289</v>
      </c>
      <c r="C2179" s="13" t="s">
        <v>143</v>
      </c>
      <c r="D2179" s="13" t="s">
        <v>3475</v>
      </c>
      <c r="E2179" s="13" t="s">
        <v>93</v>
      </c>
      <c r="F2179" s="13" t="s">
        <v>4290</v>
      </c>
      <c r="G2179" s="20" t="str">
        <f>HYPERLINK("https://semena-nn.ru/catalog/46/999000020031","Фото")</f>
        <v>Фото</v>
      </c>
      <c r="H2179" s="18">
        <v>23.5</v>
      </c>
      <c r="I2179" s="27"/>
      <c r="J2179" s="13">
        <f>H2179*I2179</f>
        <v>0</v>
      </c>
    </row>
    <row r="2180" spans="1:10" ht="12" customHeight="1">
      <c r="A2180" s="13" t="s">
        <v>7122</v>
      </c>
      <c r="B2180" s="13" t="s">
        <v>7123</v>
      </c>
      <c r="C2180" s="13" t="s">
        <v>143</v>
      </c>
      <c r="D2180" s="13" t="s">
        <v>6927</v>
      </c>
      <c r="E2180" s="13" t="s">
        <v>93</v>
      </c>
      <c r="F2180" s="13" t="s">
        <v>7124</v>
      </c>
      <c r="G2180" s="20" t="str">
        <f>HYPERLINK("https://semena-nn.ru/catalog/46/999000020043","Фото")</f>
        <v>Фото</v>
      </c>
      <c r="H2180" s="18">
        <v>37.5</v>
      </c>
      <c r="I2180" s="27"/>
      <c r="J2180" s="13">
        <f>H2180*I2180</f>
        <v>0</v>
      </c>
    </row>
    <row r="2181" spans="1:10" ht="12" customHeight="1">
      <c r="A2181" s="13" t="s">
        <v>1866</v>
      </c>
      <c r="B2181" s="13" t="s">
        <v>1867</v>
      </c>
      <c r="C2181" s="13" t="s">
        <v>143</v>
      </c>
      <c r="D2181" s="13" t="s">
        <v>697</v>
      </c>
      <c r="E2181" s="13" t="s">
        <v>93</v>
      </c>
      <c r="F2181" s="13" t="s">
        <v>1868</v>
      </c>
      <c r="G2181" s="20" t="str">
        <f>HYPERLINK("https://semena-nn.ru/catalog/46/999000006722","Фото")</f>
        <v>Фото</v>
      </c>
      <c r="H2181" s="15">
        <v>35</v>
      </c>
      <c r="I2181" s="27"/>
      <c r="J2181" s="13">
        <f>H2181*I2181</f>
        <v>0</v>
      </c>
    </row>
    <row r="2182" spans="1:10" ht="12" customHeight="1">
      <c r="A2182" s="13" t="s">
        <v>6608</v>
      </c>
      <c r="B2182" s="13" t="s">
        <v>6609</v>
      </c>
      <c r="C2182" s="13" t="s">
        <v>143</v>
      </c>
      <c r="D2182" s="13" t="s">
        <v>87</v>
      </c>
      <c r="E2182" s="13" t="s">
        <v>93</v>
      </c>
      <c r="F2182" s="13" t="s">
        <v>6610</v>
      </c>
      <c r="G2182" s="20" t="str">
        <f>HYPERLINK("https://semena-nn.ru/catalog/46/999000011911","Фото")</f>
        <v>Фото</v>
      </c>
      <c r="H2182" s="18">
        <v>54.6</v>
      </c>
      <c r="I2182" s="27"/>
      <c r="J2182" s="13">
        <f>H2182*I2182</f>
        <v>0</v>
      </c>
    </row>
    <row r="2183" spans="1:10" ht="12" customHeight="1">
      <c r="A2183" s="13" t="s">
        <v>8680</v>
      </c>
      <c r="B2183" s="13" t="s">
        <v>8681</v>
      </c>
      <c r="C2183" s="13" t="s">
        <v>143</v>
      </c>
      <c r="D2183" s="13" t="s">
        <v>8498</v>
      </c>
      <c r="E2183" s="13" t="s">
        <v>93</v>
      </c>
      <c r="F2183" s="13" t="s">
        <v>8682</v>
      </c>
      <c r="G2183" s="20" t="str">
        <f>HYPERLINK("https://semena-nn.ru/catalog/46/999000011374","Фото")</f>
        <v>Фото</v>
      </c>
      <c r="H2183" s="18">
        <v>34.5</v>
      </c>
      <c r="I2183" s="27"/>
      <c r="J2183" s="13">
        <f>H2183*I2183</f>
        <v>0</v>
      </c>
    </row>
    <row r="2184" spans="1:10" ht="12" customHeight="1">
      <c r="A2184" s="13" t="s">
        <v>586</v>
      </c>
      <c r="B2184" s="13" t="s">
        <v>587</v>
      </c>
      <c r="C2184" s="13" t="s">
        <v>143</v>
      </c>
      <c r="D2184" s="13" t="s">
        <v>28</v>
      </c>
      <c r="E2184" s="13" t="s">
        <v>93</v>
      </c>
      <c r="F2184" s="13" t="s">
        <v>588</v>
      </c>
      <c r="G2184" s="20" t="str">
        <f>HYPERLINK("https://semena-nn.ru/catalog/46/999000020347","Фото")</f>
        <v>Фото</v>
      </c>
      <c r="H2184" s="19">
        <v>42.16</v>
      </c>
      <c r="I2184" s="27"/>
      <c r="J2184" s="13">
        <f>H2184*I2184</f>
        <v>0</v>
      </c>
    </row>
    <row r="2185" spans="1:10" ht="12" customHeight="1">
      <c r="A2185" s="13" t="s">
        <v>7698</v>
      </c>
      <c r="B2185" s="13" t="s">
        <v>7699</v>
      </c>
      <c r="C2185" s="13" t="s">
        <v>143</v>
      </c>
      <c r="D2185" s="13" t="s">
        <v>7148</v>
      </c>
      <c r="E2185" s="13" t="s">
        <v>93</v>
      </c>
      <c r="F2185" s="13"/>
      <c r="G2185" s="13"/>
      <c r="H2185" s="18">
        <v>85.7</v>
      </c>
      <c r="I2185" s="27"/>
      <c r="J2185" s="13">
        <f>H2185*I2185</f>
        <v>0</v>
      </c>
    </row>
    <row r="2186" spans="1:10" ht="12" customHeight="1">
      <c r="A2186" s="13" t="s">
        <v>7700</v>
      </c>
      <c r="B2186" s="13" t="s">
        <v>7701</v>
      </c>
      <c r="C2186" s="13" t="s">
        <v>143</v>
      </c>
      <c r="D2186" s="13" t="s">
        <v>7148</v>
      </c>
      <c r="E2186" s="13" t="s">
        <v>93</v>
      </c>
      <c r="F2186" s="13" t="s">
        <v>7702</v>
      </c>
      <c r="G2186" s="20" t="str">
        <f>HYPERLINK("http://semena-nn.ru/catalog/46/1313781","Фото")</f>
        <v>Фото</v>
      </c>
      <c r="H2186" s="18">
        <v>65.5</v>
      </c>
      <c r="I2186" s="27"/>
      <c r="J2186" s="13">
        <f>H2186*I2186</f>
        <v>0</v>
      </c>
    </row>
    <row r="2187" spans="1:10" ht="12" customHeight="1">
      <c r="A2187" s="13" t="s">
        <v>196</v>
      </c>
      <c r="B2187" s="13" t="s">
        <v>197</v>
      </c>
      <c r="C2187" s="13" t="s">
        <v>143</v>
      </c>
      <c r="D2187" s="13" t="s">
        <v>92</v>
      </c>
      <c r="E2187" s="13" t="s">
        <v>93</v>
      </c>
      <c r="F2187" s="13" t="s">
        <v>198</v>
      </c>
      <c r="G2187" s="20" t="str">
        <f>HYPERLINK("https://semena-nn.ru/catalog/46/1303116","Фото")</f>
        <v>Фото</v>
      </c>
      <c r="H2187" s="18">
        <v>81.900000000000006</v>
      </c>
      <c r="I2187" s="27"/>
      <c r="J2187" s="13">
        <f>H2187*I2187</f>
        <v>0</v>
      </c>
    </row>
    <row r="2188" spans="1:10" ht="12" customHeight="1">
      <c r="A2188" s="13" t="s">
        <v>8962</v>
      </c>
      <c r="B2188" s="13" t="s">
        <v>8963</v>
      </c>
      <c r="C2188" s="13" t="s">
        <v>143</v>
      </c>
      <c r="D2188" s="13" t="s">
        <v>8717</v>
      </c>
      <c r="E2188" s="13" t="s">
        <v>93</v>
      </c>
      <c r="F2188" s="17" t="s">
        <v>8964</v>
      </c>
      <c r="G2188" s="20" t="str">
        <f>HYPERLINK("https://semena-nn.ru/catalog/46/999000000531","Фото")</f>
        <v>Фото</v>
      </c>
      <c r="H2188" s="18">
        <v>25.7</v>
      </c>
      <c r="I2188" s="27"/>
      <c r="J2188" s="13">
        <f>H2188*I2188</f>
        <v>0</v>
      </c>
    </row>
    <row r="2189" spans="1:10" ht="12" customHeight="1">
      <c r="A2189" s="13" t="s">
        <v>5974</v>
      </c>
      <c r="B2189" s="13" t="s">
        <v>5975</v>
      </c>
      <c r="C2189" s="13" t="s">
        <v>143</v>
      </c>
      <c r="D2189" s="13" t="s">
        <v>5834</v>
      </c>
      <c r="E2189" s="13" t="s">
        <v>93</v>
      </c>
      <c r="F2189" s="13" t="s">
        <v>5976</v>
      </c>
      <c r="G2189" s="20" t="str">
        <f>HYPERLINK("https://semena-nn.ru/catalog/46/888000001583","Фото")</f>
        <v>Фото</v>
      </c>
      <c r="H2189" s="19">
        <v>13.76</v>
      </c>
      <c r="I2189" s="27"/>
      <c r="J2189" s="13">
        <f>H2189*I2189</f>
        <v>0</v>
      </c>
    </row>
    <row r="2190" spans="1:10" ht="12" customHeight="1">
      <c r="A2190" s="13" t="s">
        <v>5125</v>
      </c>
      <c r="B2190" s="13" t="s">
        <v>5126</v>
      </c>
      <c r="C2190" s="13" t="s">
        <v>143</v>
      </c>
      <c r="D2190" s="13" t="s">
        <v>5045</v>
      </c>
      <c r="E2190" s="13" t="s">
        <v>93</v>
      </c>
      <c r="F2190" s="13" t="s">
        <v>5127</v>
      </c>
      <c r="G2190" s="20" t="str">
        <f>HYPERLINK("http://semena-nn.ru/catalog/46/95017","Фото")</f>
        <v>Фото</v>
      </c>
      <c r="H2190" s="15">
        <v>24</v>
      </c>
      <c r="I2190" s="27"/>
      <c r="J2190" s="13">
        <f>H2190*I2190</f>
        <v>0</v>
      </c>
    </row>
    <row r="2191" spans="1:10" ht="12" customHeight="1">
      <c r="A2191" s="13" t="s">
        <v>3026</v>
      </c>
      <c r="B2191" s="13" t="s">
        <v>3027</v>
      </c>
      <c r="C2191" s="13" t="s">
        <v>143</v>
      </c>
      <c r="D2191" s="13" t="s">
        <v>697</v>
      </c>
      <c r="E2191" s="13" t="s">
        <v>2636</v>
      </c>
      <c r="F2191" s="17" t="s">
        <v>3028</v>
      </c>
      <c r="G2191" s="20" t="str">
        <f>HYPERLINK("http://semena-nn.ru/catalog/46/94003","Фото")</f>
        <v>Фото</v>
      </c>
      <c r="H2191" s="19">
        <v>8.9499999999999993</v>
      </c>
      <c r="I2191" s="27"/>
      <c r="J2191" s="13">
        <f>H2191*I2191</f>
        <v>0</v>
      </c>
    </row>
    <row r="2192" spans="1:10" ht="12" customHeight="1">
      <c r="A2192" s="13" t="s">
        <v>8490</v>
      </c>
      <c r="B2192" s="13" t="s">
        <v>8491</v>
      </c>
      <c r="C2192" s="13" t="s">
        <v>143</v>
      </c>
      <c r="D2192" s="13" t="s">
        <v>8317</v>
      </c>
      <c r="E2192" s="13" t="s">
        <v>93</v>
      </c>
      <c r="F2192" s="13" t="s">
        <v>8492</v>
      </c>
      <c r="G2192" s="20" t="str">
        <f>HYPERLINK("http://semena-nn.ru/catalog/46/1303087","Фото")</f>
        <v>Фото</v>
      </c>
      <c r="H2192" s="18">
        <v>71.7</v>
      </c>
      <c r="I2192" s="27"/>
      <c r="J2192" s="13">
        <f>H2192*I2192</f>
        <v>0</v>
      </c>
    </row>
    <row r="2193" spans="1:10" ht="12" customHeight="1">
      <c r="A2193" s="13" t="s">
        <v>6611</v>
      </c>
      <c r="B2193" s="13" t="s">
        <v>6612</v>
      </c>
      <c r="C2193" s="13" t="s">
        <v>143</v>
      </c>
      <c r="D2193" s="13" t="s">
        <v>87</v>
      </c>
      <c r="E2193" s="13" t="s">
        <v>93</v>
      </c>
      <c r="F2193" s="13" t="s">
        <v>6613</v>
      </c>
      <c r="G2193" s="20" t="str">
        <f>HYPERLINK("https://semena-nn.ru/catalog/46/999000006587","Фото")</f>
        <v>Фото</v>
      </c>
      <c r="H2193" s="18">
        <v>19.5</v>
      </c>
      <c r="I2193" s="27"/>
      <c r="J2193" s="13">
        <f>H2193*I2193</f>
        <v>0</v>
      </c>
    </row>
    <row r="2194" spans="1:10" ht="12" customHeight="1">
      <c r="A2194" s="13" t="s">
        <v>589</v>
      </c>
      <c r="B2194" s="13" t="s">
        <v>590</v>
      </c>
      <c r="C2194" s="13" t="s">
        <v>143</v>
      </c>
      <c r="D2194" s="13" t="s">
        <v>28</v>
      </c>
      <c r="E2194" s="13" t="s">
        <v>93</v>
      </c>
      <c r="F2194" s="13" t="s">
        <v>591</v>
      </c>
      <c r="G2194" s="20" t="str">
        <f>HYPERLINK("https://semena-nn.ru/catalog/46/999000012958","Фото")</f>
        <v>Фото</v>
      </c>
      <c r="H2194" s="19">
        <v>22.89</v>
      </c>
      <c r="I2194" s="27"/>
      <c r="J2194" s="13">
        <f>H2194*I2194</f>
        <v>0</v>
      </c>
    </row>
    <row r="2195" spans="1:10" ht="12" customHeight="1">
      <c r="A2195" s="13" t="s">
        <v>8683</v>
      </c>
      <c r="B2195" s="13" t="s">
        <v>8684</v>
      </c>
      <c r="C2195" s="13" t="s">
        <v>143</v>
      </c>
      <c r="D2195" s="13" t="s">
        <v>8498</v>
      </c>
      <c r="E2195" s="13" t="s">
        <v>93</v>
      </c>
      <c r="F2195" s="13" t="s">
        <v>8685</v>
      </c>
      <c r="G2195" s="20" t="str">
        <f>HYPERLINK("http://semena-nn.ru/catalog/46/999000000169","Фото")</f>
        <v>Фото</v>
      </c>
      <c r="H2195" s="18">
        <v>19.5</v>
      </c>
      <c r="I2195" s="27"/>
      <c r="J2195" s="13">
        <f>H2195*I2195</f>
        <v>0</v>
      </c>
    </row>
    <row r="2196" spans="1:10" ht="12" customHeight="1">
      <c r="A2196" s="13" t="s">
        <v>8686</v>
      </c>
      <c r="B2196" s="13" t="s">
        <v>8687</v>
      </c>
      <c r="C2196" s="13" t="s">
        <v>143</v>
      </c>
      <c r="D2196" s="13" t="s">
        <v>8498</v>
      </c>
      <c r="E2196" s="13" t="s">
        <v>93</v>
      </c>
      <c r="F2196" s="13" t="s">
        <v>8685</v>
      </c>
      <c r="G2196" s="20" t="str">
        <f>HYPERLINK("http://semena-nn.ru/catalog/46/1308846","Фото")</f>
        <v>Фото</v>
      </c>
      <c r="H2196" s="18">
        <v>19.5</v>
      </c>
      <c r="I2196" s="27"/>
      <c r="J2196" s="13">
        <f>H2196*I2196</f>
        <v>0</v>
      </c>
    </row>
    <row r="2197" spans="1:10" ht="12" customHeight="1">
      <c r="A2197" s="13" t="s">
        <v>8688</v>
      </c>
      <c r="B2197" s="13" t="s">
        <v>8689</v>
      </c>
      <c r="C2197" s="13" t="s">
        <v>143</v>
      </c>
      <c r="D2197" s="13" t="s">
        <v>8498</v>
      </c>
      <c r="E2197" s="13" t="s">
        <v>93</v>
      </c>
      <c r="F2197" s="13" t="s">
        <v>8690</v>
      </c>
      <c r="G2197" s="20" t="str">
        <f>HYPERLINK("https://semena-nn.ru/catalog/46/1308847","Фото")</f>
        <v>Фото</v>
      </c>
      <c r="H2197" s="18">
        <v>19.5</v>
      </c>
      <c r="I2197" s="27"/>
      <c r="J2197" s="13">
        <f>H2197*I2197</f>
        <v>0</v>
      </c>
    </row>
    <row r="2198" spans="1:10" ht="12" customHeight="1">
      <c r="A2198" s="13" t="s">
        <v>1869</v>
      </c>
      <c r="B2198" s="13" t="s">
        <v>1870</v>
      </c>
      <c r="C2198" s="13" t="s">
        <v>143</v>
      </c>
      <c r="D2198" s="13" t="s">
        <v>697</v>
      </c>
      <c r="E2198" s="13" t="s">
        <v>93</v>
      </c>
      <c r="F2198" s="17" t="s">
        <v>1871</v>
      </c>
      <c r="G2198" s="20" t="str">
        <f>HYPERLINK("https://semena-nn.ru/catalog/46/1311228","Фото")</f>
        <v>Фото</v>
      </c>
      <c r="H2198" s="18">
        <v>21.7</v>
      </c>
      <c r="I2198" s="27"/>
      <c r="J2198" s="13">
        <f>H2198*I2198</f>
        <v>0</v>
      </c>
    </row>
    <row r="2199" spans="1:10" ht="12" customHeight="1">
      <c r="A2199" s="13" t="s">
        <v>7703</v>
      </c>
      <c r="B2199" s="13" t="s">
        <v>7704</v>
      </c>
      <c r="C2199" s="13" t="s">
        <v>143</v>
      </c>
      <c r="D2199" s="13" t="s">
        <v>7148</v>
      </c>
      <c r="E2199" s="13" t="s">
        <v>93</v>
      </c>
      <c r="F2199" s="13"/>
      <c r="G2199" s="13"/>
      <c r="H2199" s="18">
        <v>85.7</v>
      </c>
      <c r="I2199" s="27"/>
      <c r="J2199" s="13">
        <f>H2199*I2199</f>
        <v>0</v>
      </c>
    </row>
    <row r="2200" spans="1:10" ht="12" customHeight="1">
      <c r="A2200" s="13" t="s">
        <v>5128</v>
      </c>
      <c r="B2200" s="13" t="s">
        <v>5129</v>
      </c>
      <c r="C2200" s="13" t="s">
        <v>143</v>
      </c>
      <c r="D2200" s="13" t="s">
        <v>5045</v>
      </c>
      <c r="E2200" s="13" t="s">
        <v>93</v>
      </c>
      <c r="F2200" s="13" t="s">
        <v>5130</v>
      </c>
      <c r="G2200" s="20" t="str">
        <f>HYPERLINK("https://semena-nn.ru/catalog/46/94093","Фото")</f>
        <v>Фото</v>
      </c>
      <c r="H2200" s="18">
        <v>31.5</v>
      </c>
      <c r="I2200" s="27"/>
      <c r="J2200" s="13">
        <f>H2200*I2200</f>
        <v>0</v>
      </c>
    </row>
    <row r="2201" spans="1:10" ht="12" customHeight="1">
      <c r="A2201" s="13" t="s">
        <v>592</v>
      </c>
      <c r="B2201" s="13" t="s">
        <v>593</v>
      </c>
      <c r="C2201" s="13" t="s">
        <v>208</v>
      </c>
      <c r="D2201" s="13" t="s">
        <v>28</v>
      </c>
      <c r="E2201" s="13" t="s">
        <v>93</v>
      </c>
      <c r="F2201" s="13" t="s">
        <v>594</v>
      </c>
      <c r="G2201" s="20" t="str">
        <f>HYPERLINK("https://semena-nn.ru/catalog/53/999000012960","Фото")</f>
        <v>Фото</v>
      </c>
      <c r="H2201" s="19">
        <v>24.05</v>
      </c>
      <c r="I2201" s="27"/>
      <c r="J2201" s="13">
        <f>H2201*I2201</f>
        <v>0</v>
      </c>
    </row>
    <row r="2202" spans="1:10" ht="12" customHeight="1">
      <c r="A2202" s="13" t="s">
        <v>8965</v>
      </c>
      <c r="B2202" s="13" t="s">
        <v>8966</v>
      </c>
      <c r="C2202" s="13" t="s">
        <v>406</v>
      </c>
      <c r="D2202" s="13" t="s">
        <v>8717</v>
      </c>
      <c r="E2202" s="13" t="s">
        <v>93</v>
      </c>
      <c r="F2202" s="13" t="s">
        <v>8967</v>
      </c>
      <c r="G2202" s="20" t="str">
        <f>HYPERLINK("http://semena-nn.ru/catalog/38/999000006466","Фото")</f>
        <v>Фото</v>
      </c>
      <c r="H2202" s="15">
        <v>19</v>
      </c>
      <c r="I2202" s="27"/>
      <c r="J2202" s="13">
        <f>H2202*I2202</f>
        <v>0</v>
      </c>
    </row>
    <row r="2203" spans="1:10" ht="12" customHeight="1">
      <c r="A2203" s="13" t="s">
        <v>6614</v>
      </c>
      <c r="B2203" s="13" t="s">
        <v>6615</v>
      </c>
      <c r="C2203" s="13" t="s">
        <v>226</v>
      </c>
      <c r="D2203" s="13" t="s">
        <v>87</v>
      </c>
      <c r="E2203" s="13" t="s">
        <v>93</v>
      </c>
      <c r="F2203" s="13" t="s">
        <v>6616</v>
      </c>
      <c r="G2203" s="20" t="str">
        <f>HYPERLINK("https://semena-nn.ru/catalog/47/96352","Фото")</f>
        <v>Фото</v>
      </c>
      <c r="H2203" s="18">
        <v>28.2</v>
      </c>
      <c r="I2203" s="27"/>
      <c r="J2203" s="13">
        <f>H2203*I2203</f>
        <v>0</v>
      </c>
    </row>
    <row r="2204" spans="1:10" ht="12" customHeight="1">
      <c r="A2204" s="13" t="s">
        <v>6922</v>
      </c>
      <c r="B2204" s="13" t="s">
        <v>6923</v>
      </c>
      <c r="C2204" s="13" t="s">
        <v>226</v>
      </c>
      <c r="D2204" s="13" t="s">
        <v>87</v>
      </c>
      <c r="E2204" s="13" t="s">
        <v>93</v>
      </c>
      <c r="F2204" s="13" t="s">
        <v>6924</v>
      </c>
      <c r="G2204" s="20" t="str">
        <f>HYPERLINK("https://semena-nn.ru/catalog/47/104923","Фото")</f>
        <v>Фото</v>
      </c>
      <c r="H2204" s="18">
        <v>7.5</v>
      </c>
      <c r="I2204" s="27"/>
      <c r="J2204" s="13">
        <f>H2204*I2204</f>
        <v>0</v>
      </c>
    </row>
    <row r="2205" spans="1:10" ht="12" customHeight="1">
      <c r="A2205" s="13" t="s">
        <v>8691</v>
      </c>
      <c r="B2205" s="13" t="s">
        <v>8692</v>
      </c>
      <c r="C2205" s="13" t="s">
        <v>226</v>
      </c>
      <c r="D2205" s="13" t="s">
        <v>8498</v>
      </c>
      <c r="E2205" s="13" t="s">
        <v>93</v>
      </c>
      <c r="F2205" s="13" t="s">
        <v>8693</v>
      </c>
      <c r="G2205" s="20" t="str">
        <f>HYPERLINK("https://semena-nn.ru/catalog/47/999000009594","Фото")</f>
        <v>Фото</v>
      </c>
      <c r="H2205" s="19">
        <v>52.95</v>
      </c>
      <c r="I2205" s="27"/>
      <c r="J2205" s="13">
        <f>H2205*I2205</f>
        <v>0</v>
      </c>
    </row>
    <row r="2206" spans="1:10" ht="12" customHeight="1">
      <c r="A2206" s="13" t="s">
        <v>1872</v>
      </c>
      <c r="B2206" s="13" t="s">
        <v>1873</v>
      </c>
      <c r="C2206" s="13" t="s">
        <v>226</v>
      </c>
      <c r="D2206" s="13" t="s">
        <v>697</v>
      </c>
      <c r="E2206" s="13" t="s">
        <v>93</v>
      </c>
      <c r="F2206" s="13" t="s">
        <v>1874</v>
      </c>
      <c r="G2206" s="20" t="str">
        <f>HYPERLINK("https://semena-nn.ru/catalog/47/999000012845","Фото")</f>
        <v>Фото</v>
      </c>
      <c r="H2206" s="18">
        <v>17.8</v>
      </c>
      <c r="I2206" s="27"/>
      <c r="J2206" s="13">
        <f>H2206*I2206</f>
        <v>0</v>
      </c>
    </row>
    <row r="2207" spans="1:10" ht="12" customHeight="1">
      <c r="A2207" s="13" t="s">
        <v>4291</v>
      </c>
      <c r="B2207" s="13" t="s">
        <v>4292</v>
      </c>
      <c r="C2207" s="13" t="s">
        <v>226</v>
      </c>
      <c r="D2207" s="13" t="s">
        <v>3475</v>
      </c>
      <c r="E2207" s="13" t="s">
        <v>93</v>
      </c>
      <c r="F2207" s="13" t="s">
        <v>4293</v>
      </c>
      <c r="G2207" s="20" t="str">
        <f>HYPERLINK("https://semena-nn.ru/catalog/47/999000011101","Фото")</f>
        <v>Фото</v>
      </c>
      <c r="H2207" s="15">
        <v>19</v>
      </c>
      <c r="I2207" s="27"/>
      <c r="J2207" s="13">
        <f>H2207*I2207</f>
        <v>0</v>
      </c>
    </row>
    <row r="2208" spans="1:10" ht="12" customHeight="1">
      <c r="A2208" s="13" t="s">
        <v>4294</v>
      </c>
      <c r="B2208" s="13" t="s">
        <v>4295</v>
      </c>
      <c r="C2208" s="13" t="s">
        <v>226</v>
      </c>
      <c r="D2208" s="13" t="s">
        <v>3475</v>
      </c>
      <c r="E2208" s="13" t="s">
        <v>93</v>
      </c>
      <c r="F2208" s="13" t="s">
        <v>4296</v>
      </c>
      <c r="G2208" s="20" t="str">
        <f>HYPERLINK("https://semena-nn.ru/catalog/47/999000011103","Фото")</f>
        <v>Фото</v>
      </c>
      <c r="H2208" s="15">
        <v>19</v>
      </c>
      <c r="I2208" s="27"/>
      <c r="J2208" s="13">
        <f>H2208*I2208</f>
        <v>0</v>
      </c>
    </row>
    <row r="2209" spans="1:10" ht="12" customHeight="1">
      <c r="A2209" s="13" t="s">
        <v>5001</v>
      </c>
      <c r="B2209" s="13" t="s">
        <v>5002</v>
      </c>
      <c r="C2209" s="13" t="s">
        <v>226</v>
      </c>
      <c r="D2209" s="13" t="s">
        <v>3475</v>
      </c>
      <c r="E2209" s="13" t="s">
        <v>2636</v>
      </c>
      <c r="F2209" s="13" t="s">
        <v>5003</v>
      </c>
      <c r="G2209" s="20" t="str">
        <f>HYPERLINK("http://semena-nn.ru/catalog/47/1312948","Фото")</f>
        <v>Фото</v>
      </c>
      <c r="H2209" s="19">
        <v>6.95</v>
      </c>
      <c r="I2209" s="27"/>
      <c r="J2209" s="13">
        <f>H2209*I2209</f>
        <v>0</v>
      </c>
    </row>
    <row r="2210" spans="1:10" ht="12" customHeight="1">
      <c r="A2210" s="13" t="s">
        <v>4297</v>
      </c>
      <c r="B2210" s="13" t="s">
        <v>4298</v>
      </c>
      <c r="C2210" s="13" t="s">
        <v>226</v>
      </c>
      <c r="D2210" s="13" t="s">
        <v>3475</v>
      </c>
      <c r="E2210" s="13" t="s">
        <v>93</v>
      </c>
      <c r="F2210" s="13" t="s">
        <v>4299</v>
      </c>
      <c r="G2210" s="20" t="str">
        <f>HYPERLINK("http://semena-nn.ru/catalog/47/113819","Фото")</f>
        <v>Фото</v>
      </c>
      <c r="H2210" s="19">
        <v>18.989999999999998</v>
      </c>
      <c r="I2210" s="27"/>
      <c r="J2210" s="13">
        <f>H2210*I2210</f>
        <v>0</v>
      </c>
    </row>
    <row r="2211" spans="1:10" ht="12" customHeight="1">
      <c r="A2211" s="13" t="s">
        <v>4300</v>
      </c>
      <c r="B2211" s="13" t="s">
        <v>4301</v>
      </c>
      <c r="C2211" s="13" t="s">
        <v>226</v>
      </c>
      <c r="D2211" s="13" t="s">
        <v>3475</v>
      </c>
      <c r="E2211" s="13" t="s">
        <v>93</v>
      </c>
      <c r="F2211" s="13" t="s">
        <v>4302</v>
      </c>
      <c r="G2211" s="20" t="str">
        <f>HYPERLINK("http://semena-nn.ru/catalog/47/1123957","Фото")</f>
        <v>Фото</v>
      </c>
      <c r="H2211" s="19">
        <v>18.989999999999998</v>
      </c>
      <c r="I2211" s="27"/>
      <c r="J2211" s="13">
        <f>H2211*I2211</f>
        <v>0</v>
      </c>
    </row>
    <row r="2212" spans="1:10" ht="12" customHeight="1">
      <c r="A2212" s="13" t="s">
        <v>4303</v>
      </c>
      <c r="B2212" s="13" t="s">
        <v>4304</v>
      </c>
      <c r="C2212" s="13" t="s">
        <v>226</v>
      </c>
      <c r="D2212" s="13" t="s">
        <v>3475</v>
      </c>
      <c r="E2212" s="13" t="s">
        <v>93</v>
      </c>
      <c r="F2212" s="13" t="s">
        <v>4305</v>
      </c>
      <c r="G2212" s="20" t="str">
        <f>HYPERLINK("http://semena-nn.ru/catalog/47/1123958","Фото")</f>
        <v>Фото</v>
      </c>
      <c r="H2212" s="19">
        <v>18.989999999999998</v>
      </c>
      <c r="I2212" s="27"/>
      <c r="J2212" s="13">
        <f>H2212*I2212</f>
        <v>0</v>
      </c>
    </row>
    <row r="2213" spans="1:10" ht="12" customHeight="1">
      <c r="A2213" s="13" t="s">
        <v>4306</v>
      </c>
      <c r="B2213" s="13" t="s">
        <v>4307</v>
      </c>
      <c r="C2213" s="13" t="s">
        <v>424</v>
      </c>
      <c r="D2213" s="13" t="s">
        <v>3475</v>
      </c>
      <c r="E2213" s="13" t="s">
        <v>93</v>
      </c>
      <c r="F2213" s="13" t="s">
        <v>4308</v>
      </c>
      <c r="G2213" s="20" t="str">
        <f>HYPERLINK("http://semena-nn.ru/catalog/41/1307100","Фото")</f>
        <v>Фото</v>
      </c>
      <c r="H2213" s="18">
        <v>18.7</v>
      </c>
      <c r="I2213" s="27"/>
      <c r="J2213" s="13">
        <f>H2213*I2213</f>
        <v>0</v>
      </c>
    </row>
    <row r="2214" spans="1:10" ht="12" customHeight="1">
      <c r="A2214" s="13" t="s">
        <v>8279</v>
      </c>
      <c r="B2214" s="13" t="s">
        <v>8280</v>
      </c>
      <c r="C2214" s="13" t="s">
        <v>597</v>
      </c>
      <c r="D2214" s="13" t="s">
        <v>7728</v>
      </c>
      <c r="E2214" s="13" t="s">
        <v>93</v>
      </c>
      <c r="F2214" s="13" t="s">
        <v>8281</v>
      </c>
      <c r="G2214" s="20" t="str">
        <f>HYPERLINK("http://semena-nn.ru/catalog/48/1313555","Фото")</f>
        <v>Фото</v>
      </c>
      <c r="H2214" s="18">
        <v>24.3</v>
      </c>
      <c r="I2214" s="27"/>
      <c r="J2214" s="13">
        <f>H2214*I2214</f>
        <v>0</v>
      </c>
    </row>
    <row r="2215" spans="1:10" ht="12" customHeight="1">
      <c r="A2215" s="13" t="s">
        <v>4309</v>
      </c>
      <c r="B2215" s="13" t="s">
        <v>4310</v>
      </c>
      <c r="C2215" s="13" t="s">
        <v>597</v>
      </c>
      <c r="D2215" s="13" t="s">
        <v>3475</v>
      </c>
      <c r="E2215" s="13" t="s">
        <v>93</v>
      </c>
      <c r="F2215" s="13" t="s">
        <v>4311</v>
      </c>
      <c r="G2215" s="20" t="str">
        <f>HYPERLINK("https://semena-nn.ru/catalog/48/999000011094","Фото")</f>
        <v>Фото</v>
      </c>
      <c r="H2215" s="18">
        <v>34.5</v>
      </c>
      <c r="I2215" s="27"/>
      <c r="J2215" s="13">
        <f>H2215*I2215</f>
        <v>0</v>
      </c>
    </row>
    <row r="2216" spans="1:10" ht="12" customHeight="1">
      <c r="A2216" s="13" t="s">
        <v>1875</v>
      </c>
      <c r="B2216" s="13" t="s">
        <v>1876</v>
      </c>
      <c r="C2216" s="13" t="s">
        <v>597</v>
      </c>
      <c r="D2216" s="13" t="s">
        <v>697</v>
      </c>
      <c r="E2216" s="13" t="s">
        <v>93</v>
      </c>
      <c r="F2216" s="13" t="s">
        <v>1877</v>
      </c>
      <c r="G2216" s="20" t="str">
        <f>HYPERLINK("http://semena-nn.ru/catalog/48/999000002307","Фото")</f>
        <v>Фото</v>
      </c>
      <c r="H2216" s="18">
        <v>17.8</v>
      </c>
      <c r="I2216" s="27"/>
      <c r="J2216" s="13">
        <f>H2216*I2216</f>
        <v>0</v>
      </c>
    </row>
    <row r="2217" spans="1:10" ht="12" customHeight="1">
      <c r="A2217" s="13" t="s">
        <v>7125</v>
      </c>
      <c r="B2217" s="13" t="s">
        <v>7126</v>
      </c>
      <c r="C2217" s="13" t="s">
        <v>597</v>
      </c>
      <c r="D2217" s="13" t="s">
        <v>6927</v>
      </c>
      <c r="E2217" s="13" t="s">
        <v>93</v>
      </c>
      <c r="F2217" s="13" t="s">
        <v>7127</v>
      </c>
      <c r="G2217" s="20" t="str">
        <f>HYPERLINK("https://semena-nn.ru/catalog/48/888000000555","Фото")</f>
        <v>Фото</v>
      </c>
      <c r="H2217" s="18">
        <v>26.4</v>
      </c>
      <c r="I2217" s="27"/>
      <c r="J2217" s="13">
        <f>H2217*I2217</f>
        <v>0</v>
      </c>
    </row>
    <row r="2218" spans="1:10" ht="12" customHeight="1">
      <c r="A2218" s="13" t="s">
        <v>4312</v>
      </c>
      <c r="B2218" s="13" t="s">
        <v>4313</v>
      </c>
      <c r="C2218" s="13" t="s">
        <v>597</v>
      </c>
      <c r="D2218" s="13" t="s">
        <v>3475</v>
      </c>
      <c r="E2218" s="13" t="s">
        <v>93</v>
      </c>
      <c r="F2218" s="13" t="s">
        <v>4314</v>
      </c>
      <c r="G2218" s="20" t="str">
        <f>HYPERLINK("https://semena-nn.ru/catalog/48/999000007864","Фото")</f>
        <v>Фото</v>
      </c>
      <c r="H2218" s="18">
        <v>18.7</v>
      </c>
      <c r="I2218" s="27"/>
      <c r="J2218" s="13">
        <f>H2218*I2218</f>
        <v>0</v>
      </c>
    </row>
    <row r="2219" spans="1:10" ht="12" customHeight="1">
      <c r="A2219" s="13" t="s">
        <v>1878</v>
      </c>
      <c r="B2219" s="13" t="s">
        <v>1879</v>
      </c>
      <c r="C2219" s="13" t="s">
        <v>597</v>
      </c>
      <c r="D2219" s="13" t="s">
        <v>697</v>
      </c>
      <c r="E2219" s="13" t="s">
        <v>93</v>
      </c>
      <c r="F2219" s="13" t="s">
        <v>1880</v>
      </c>
      <c r="G2219" s="20" t="str">
        <f>HYPERLINK("http://semena-nn.ru/catalog/48/1306531","Фото")</f>
        <v>Фото</v>
      </c>
      <c r="H2219" s="18">
        <v>18.8</v>
      </c>
      <c r="I2219" s="27"/>
      <c r="J2219" s="13">
        <f>H2219*I2219</f>
        <v>0</v>
      </c>
    </row>
    <row r="2220" spans="1:10" ht="12" customHeight="1">
      <c r="A2220" s="13" t="s">
        <v>6617</v>
      </c>
      <c r="B2220" s="13" t="s">
        <v>6618</v>
      </c>
      <c r="C2220" s="13" t="s">
        <v>597</v>
      </c>
      <c r="D2220" s="13" t="s">
        <v>87</v>
      </c>
      <c r="E2220" s="13" t="s">
        <v>93</v>
      </c>
      <c r="F2220" s="13" t="s">
        <v>6619</v>
      </c>
      <c r="G2220" s="20" t="str">
        <f>HYPERLINK("https://semena-nn.ru/catalog/48/97129","Фото")</f>
        <v>Фото</v>
      </c>
      <c r="H2220" s="19">
        <v>26.25</v>
      </c>
      <c r="I2220" s="27"/>
      <c r="J2220" s="13">
        <f>H2220*I2220</f>
        <v>0</v>
      </c>
    </row>
    <row r="2221" spans="1:10" ht="12" customHeight="1">
      <c r="A2221" s="13" t="s">
        <v>6620</v>
      </c>
      <c r="B2221" s="13" t="s">
        <v>6621</v>
      </c>
      <c r="C2221" s="13" t="s">
        <v>597</v>
      </c>
      <c r="D2221" s="13" t="s">
        <v>87</v>
      </c>
      <c r="E2221" s="13" t="s">
        <v>93</v>
      </c>
      <c r="F2221" s="13" t="s">
        <v>6622</v>
      </c>
      <c r="G2221" s="20" t="str">
        <f>HYPERLINK("http://semena-nn.ru/catalog/48/1306590","Фото")</f>
        <v>Фото</v>
      </c>
      <c r="H2221" s="18">
        <v>26.8</v>
      </c>
      <c r="I2221" s="27"/>
      <c r="J2221" s="13">
        <f>H2221*I2221</f>
        <v>0</v>
      </c>
    </row>
    <row r="2222" spans="1:10" ht="12" customHeight="1">
      <c r="A2222" s="13" t="s">
        <v>1881</v>
      </c>
      <c r="B2222" s="13" t="s">
        <v>1882</v>
      </c>
      <c r="C2222" s="13" t="s">
        <v>597</v>
      </c>
      <c r="D2222" s="13" t="s">
        <v>697</v>
      </c>
      <c r="E2222" s="13" t="s">
        <v>93</v>
      </c>
      <c r="F2222" s="13" t="s">
        <v>1883</v>
      </c>
      <c r="G2222" s="20" t="str">
        <f>HYPERLINK("https://semena-nn.ru/catalog/48/80261","Фото")</f>
        <v>Фото</v>
      </c>
      <c r="H2222" s="18">
        <v>28.6</v>
      </c>
      <c r="I2222" s="27"/>
      <c r="J2222" s="13">
        <f>H2222*I2222</f>
        <v>0</v>
      </c>
    </row>
    <row r="2223" spans="1:10" ht="12" customHeight="1">
      <c r="A2223" s="13" t="s">
        <v>8282</v>
      </c>
      <c r="B2223" s="13" t="s">
        <v>8283</v>
      </c>
      <c r="C2223" s="13" t="s">
        <v>597</v>
      </c>
      <c r="D2223" s="13" t="s">
        <v>7728</v>
      </c>
      <c r="E2223" s="13" t="s">
        <v>93</v>
      </c>
      <c r="F2223" s="13" t="s">
        <v>8284</v>
      </c>
      <c r="G2223" s="20" t="str">
        <f>HYPERLINK("http://semena-nn.ru/catalog/48/1307464","Фото")</f>
        <v>Фото</v>
      </c>
      <c r="H2223" s="19">
        <v>38.35</v>
      </c>
      <c r="I2223" s="27"/>
      <c r="J2223" s="13">
        <f>H2223*I2223</f>
        <v>0</v>
      </c>
    </row>
    <row r="2224" spans="1:10" ht="12" customHeight="1">
      <c r="A2224" s="13" t="s">
        <v>3029</v>
      </c>
      <c r="B2224" s="13" t="s">
        <v>3030</v>
      </c>
      <c r="C2224" s="13" t="s">
        <v>597</v>
      </c>
      <c r="D2224" s="13" t="s">
        <v>697</v>
      </c>
      <c r="E2224" s="13" t="s">
        <v>2636</v>
      </c>
      <c r="F2224" s="13" t="s">
        <v>3031</v>
      </c>
      <c r="G2224" s="20" t="str">
        <f>HYPERLINK("http://semena-nn.ru/catalog/48/96865","Фото")</f>
        <v>Фото</v>
      </c>
      <c r="H2224" s="19">
        <v>11.35</v>
      </c>
      <c r="I2224" s="27"/>
      <c r="J2224" s="13">
        <f>H2224*I2224</f>
        <v>0</v>
      </c>
    </row>
    <row r="2225" spans="1:10" ht="12" customHeight="1">
      <c r="A2225" s="13" t="s">
        <v>1884</v>
      </c>
      <c r="B2225" s="13" t="s">
        <v>1885</v>
      </c>
      <c r="C2225" s="13" t="s">
        <v>597</v>
      </c>
      <c r="D2225" s="13" t="s">
        <v>697</v>
      </c>
      <c r="E2225" s="13" t="s">
        <v>93</v>
      </c>
      <c r="F2225" s="13" t="s">
        <v>1886</v>
      </c>
      <c r="G2225" s="20" t="str">
        <f>HYPERLINK("https://semena-nn.ru/catalog/48/888000007603","Фото")</f>
        <v>Фото</v>
      </c>
      <c r="H2225" s="18">
        <v>47.8</v>
      </c>
      <c r="I2225" s="27"/>
      <c r="J2225" s="13">
        <f>H2225*I2225</f>
        <v>0</v>
      </c>
    </row>
    <row r="2226" spans="1:10" ht="12" customHeight="1">
      <c r="A2226" s="13" t="s">
        <v>8285</v>
      </c>
      <c r="B2226" s="13" t="s">
        <v>8286</v>
      </c>
      <c r="C2226" s="13" t="s">
        <v>597</v>
      </c>
      <c r="D2226" s="13" t="s">
        <v>7728</v>
      </c>
      <c r="E2226" s="13" t="s">
        <v>93</v>
      </c>
      <c r="F2226" s="13" t="s">
        <v>8287</v>
      </c>
      <c r="G2226" s="20" t="str">
        <f>HYPERLINK("http://semena-nn.ru/catalog/48/1303543","Фото")</f>
        <v>Фото</v>
      </c>
      <c r="H2226" s="18">
        <v>37.299999999999997</v>
      </c>
      <c r="I2226" s="27"/>
      <c r="J2226" s="13">
        <f>H2226*I2226</f>
        <v>0</v>
      </c>
    </row>
    <row r="2227" spans="1:10" ht="12" customHeight="1">
      <c r="A2227" s="13" t="s">
        <v>1887</v>
      </c>
      <c r="B2227" s="13" t="s">
        <v>1888</v>
      </c>
      <c r="C2227" s="13" t="s">
        <v>597</v>
      </c>
      <c r="D2227" s="13" t="s">
        <v>697</v>
      </c>
      <c r="E2227" s="13" t="s">
        <v>93</v>
      </c>
      <c r="F2227" s="13" t="s">
        <v>1889</v>
      </c>
      <c r="G2227" s="20" t="str">
        <f>HYPERLINK("https://semena-nn.ru/catalog/48/1309474","Фото")</f>
        <v>Фото</v>
      </c>
      <c r="H2227" s="15">
        <v>33</v>
      </c>
      <c r="I2227" s="27"/>
      <c r="J2227" s="13">
        <f>H2227*I2227</f>
        <v>0</v>
      </c>
    </row>
    <row r="2228" spans="1:10" ht="12" customHeight="1">
      <c r="A2228" s="13" t="s">
        <v>6623</v>
      </c>
      <c r="B2228" s="13" t="s">
        <v>6624</v>
      </c>
      <c r="C2228" s="13" t="s">
        <v>597</v>
      </c>
      <c r="D2228" s="13" t="s">
        <v>87</v>
      </c>
      <c r="E2228" s="13" t="s">
        <v>93</v>
      </c>
      <c r="F2228" s="13" t="s">
        <v>6625</v>
      </c>
      <c r="G2228" s="20" t="str">
        <f>HYPERLINK("http://semena-nn.ru/catalog/48/999000006386","Фото")</f>
        <v>Фото</v>
      </c>
      <c r="H2228" s="15">
        <v>19</v>
      </c>
      <c r="I2228" s="27"/>
      <c r="J2228" s="13">
        <f>H2228*I2228</f>
        <v>0</v>
      </c>
    </row>
    <row r="2229" spans="1:10" ht="12" customHeight="1">
      <c r="A2229" s="13" t="s">
        <v>5131</v>
      </c>
      <c r="B2229" s="13" t="s">
        <v>5132</v>
      </c>
      <c r="C2229" s="13" t="s">
        <v>597</v>
      </c>
      <c r="D2229" s="13" t="s">
        <v>5045</v>
      </c>
      <c r="E2229" s="13" t="s">
        <v>93</v>
      </c>
      <c r="F2229" s="13" t="s">
        <v>5133</v>
      </c>
      <c r="G2229" s="20" t="str">
        <f>HYPERLINK("https://semena-nn.ru/catalog/48/999000011538","Фото")</f>
        <v>Фото</v>
      </c>
      <c r="H2229" s="19">
        <v>25.95</v>
      </c>
      <c r="I2229" s="27"/>
      <c r="J2229" s="13">
        <f>H2229*I2229</f>
        <v>0</v>
      </c>
    </row>
    <row r="2230" spans="1:10" ht="12" customHeight="1">
      <c r="A2230" s="13" t="s">
        <v>8694</v>
      </c>
      <c r="B2230" s="13" t="s">
        <v>8695</v>
      </c>
      <c r="C2230" s="13" t="s">
        <v>597</v>
      </c>
      <c r="D2230" s="13" t="s">
        <v>8498</v>
      </c>
      <c r="E2230" s="13" t="s">
        <v>93</v>
      </c>
      <c r="F2230" s="13" t="s">
        <v>8696</v>
      </c>
      <c r="G2230" s="20" t="str">
        <f>HYPERLINK("http://semena-nn.ru/catalog/48/177","Фото")</f>
        <v>Фото</v>
      </c>
      <c r="H2230" s="18">
        <v>13.5</v>
      </c>
      <c r="I2230" s="27"/>
      <c r="J2230" s="13">
        <f>H2230*I2230</f>
        <v>0</v>
      </c>
    </row>
    <row r="2231" spans="1:10" ht="12" customHeight="1">
      <c r="A2231" s="13" t="s">
        <v>1890</v>
      </c>
      <c r="B2231" s="13" t="s">
        <v>1891</v>
      </c>
      <c r="C2231" s="13" t="s">
        <v>597</v>
      </c>
      <c r="D2231" s="13" t="s">
        <v>697</v>
      </c>
      <c r="E2231" s="13" t="s">
        <v>93</v>
      </c>
      <c r="F2231" s="13" t="s">
        <v>1892</v>
      </c>
      <c r="G2231" s="20" t="str">
        <f>HYPERLINK("https://semena-nn.ru/catalog/48/999000020236","Фото")</f>
        <v>Фото</v>
      </c>
      <c r="H2231" s="19">
        <v>45.75</v>
      </c>
      <c r="I2231" s="27"/>
      <c r="J2231" s="13">
        <f>H2231*I2231</f>
        <v>0</v>
      </c>
    </row>
    <row r="2232" spans="1:10" ht="12" customHeight="1">
      <c r="A2232" s="13" t="s">
        <v>595</v>
      </c>
      <c r="B2232" s="13" t="s">
        <v>596</v>
      </c>
      <c r="C2232" s="13" t="s">
        <v>597</v>
      </c>
      <c r="D2232" s="13" t="s">
        <v>28</v>
      </c>
      <c r="E2232" s="13" t="s">
        <v>93</v>
      </c>
      <c r="F2232" s="13" t="s">
        <v>598</v>
      </c>
      <c r="G2232" s="20" t="str">
        <f>HYPERLINK("https://semena-nn.ru/catalog/48/999000010626","Фото")</f>
        <v>Фото</v>
      </c>
      <c r="H2232" s="19">
        <v>23.84</v>
      </c>
      <c r="I2232" s="27"/>
      <c r="J2232" s="13">
        <f>H2232*I2232</f>
        <v>0</v>
      </c>
    </row>
    <row r="2233" spans="1:10" ht="12" customHeight="1">
      <c r="A2233" s="13" t="s">
        <v>1893</v>
      </c>
      <c r="B2233" s="13" t="s">
        <v>1894</v>
      </c>
      <c r="C2233" s="13" t="s">
        <v>597</v>
      </c>
      <c r="D2233" s="13" t="s">
        <v>697</v>
      </c>
      <c r="E2233" s="13" t="s">
        <v>93</v>
      </c>
      <c r="F2233" s="13" t="s">
        <v>1895</v>
      </c>
      <c r="G2233" s="20" t="str">
        <f>HYPERLINK("http://semena-nn.ru/catalog/48/999000001559","Фото")</f>
        <v>Фото</v>
      </c>
      <c r="H2233" s="19">
        <v>33.450000000000003</v>
      </c>
      <c r="I2233" s="27"/>
      <c r="J2233" s="13">
        <f>H2233*I2233</f>
        <v>0</v>
      </c>
    </row>
    <row r="2234" spans="1:10" ht="12" customHeight="1">
      <c r="A2234" s="13" t="s">
        <v>8493</v>
      </c>
      <c r="B2234" s="13" t="s">
        <v>8494</v>
      </c>
      <c r="C2234" s="13" t="s">
        <v>597</v>
      </c>
      <c r="D2234" s="13" t="s">
        <v>8317</v>
      </c>
      <c r="E2234" s="13" t="s">
        <v>93</v>
      </c>
      <c r="F2234" s="13" t="s">
        <v>8495</v>
      </c>
      <c r="G2234" s="20" t="str">
        <f>HYPERLINK("https://semena-nn.ru/catalog/48/888000007512","Фото")</f>
        <v>Фото</v>
      </c>
      <c r="H2234" s="18">
        <v>82.7</v>
      </c>
      <c r="I2234" s="27"/>
      <c r="J2234" s="13">
        <f>H2234*I2234</f>
        <v>0</v>
      </c>
    </row>
    <row r="2235" spans="1:10" ht="12" customHeight="1">
      <c r="A2235" s="13" t="s">
        <v>1896</v>
      </c>
      <c r="B2235" s="13" t="s">
        <v>1897</v>
      </c>
      <c r="C2235" s="13" t="s">
        <v>597</v>
      </c>
      <c r="D2235" s="13" t="s">
        <v>697</v>
      </c>
      <c r="E2235" s="13" t="s">
        <v>93</v>
      </c>
      <c r="F2235" s="13" t="s">
        <v>1898</v>
      </c>
      <c r="G2235" s="20" t="str">
        <f>HYPERLINK("https://semena-nn.ru/catalog/48/999000009187","Фото")</f>
        <v>Фото</v>
      </c>
      <c r="H2235" s="15">
        <v>21</v>
      </c>
      <c r="I2235" s="27"/>
      <c r="J2235" s="13">
        <f>H2235*I2235</f>
        <v>0</v>
      </c>
    </row>
    <row r="2236" spans="1:10" ht="12" customHeight="1">
      <c r="A2236" s="13" t="s">
        <v>6626</v>
      </c>
      <c r="B2236" s="13" t="s">
        <v>6627</v>
      </c>
      <c r="C2236" s="13" t="s">
        <v>597</v>
      </c>
      <c r="D2236" s="13" t="s">
        <v>87</v>
      </c>
      <c r="E2236" s="13" t="s">
        <v>93</v>
      </c>
      <c r="F2236" s="13" t="s">
        <v>6628</v>
      </c>
      <c r="G2236" s="20" t="str">
        <f>HYPERLINK("https://semena-nn.ru/catalog/48/100394","Фото")</f>
        <v>Фото</v>
      </c>
      <c r="H2236" s="18">
        <v>26.8</v>
      </c>
      <c r="I2236" s="27"/>
      <c r="J2236" s="13">
        <f>H2236*I2236</f>
        <v>0</v>
      </c>
    </row>
    <row r="2237" spans="1:10" ht="12" customHeight="1">
      <c r="A2237" s="13" t="s">
        <v>1899</v>
      </c>
      <c r="B2237" s="13" t="s">
        <v>1900</v>
      </c>
      <c r="C2237" s="13" t="s">
        <v>597</v>
      </c>
      <c r="D2237" s="13" t="s">
        <v>697</v>
      </c>
      <c r="E2237" s="13" t="s">
        <v>93</v>
      </c>
      <c r="F2237" s="13" t="s">
        <v>1901</v>
      </c>
      <c r="G2237" s="20" t="str">
        <f>HYPERLINK("https://semena-nn.ru/catalog/48/999000011021","Фото")</f>
        <v>Фото</v>
      </c>
      <c r="H2237" s="18">
        <v>29.6</v>
      </c>
      <c r="I2237" s="27"/>
      <c r="J2237" s="13">
        <f>H2237*I2237</f>
        <v>0</v>
      </c>
    </row>
    <row r="2238" spans="1:10" ht="12" customHeight="1">
      <c r="A2238" s="13" t="s">
        <v>8288</v>
      </c>
      <c r="B2238" s="13" t="s">
        <v>8289</v>
      </c>
      <c r="C2238" s="13" t="s">
        <v>597</v>
      </c>
      <c r="D2238" s="13" t="s">
        <v>7728</v>
      </c>
      <c r="E2238" s="13" t="s">
        <v>93</v>
      </c>
      <c r="F2238" s="13" t="s">
        <v>8290</v>
      </c>
      <c r="G2238" s="20" t="str">
        <f>HYPERLINK("http://semena-nn.ru/catalog/48/1288574","Фото")</f>
        <v>Фото</v>
      </c>
      <c r="H2238" s="19">
        <v>42.95</v>
      </c>
      <c r="I2238" s="27"/>
      <c r="J2238" s="13">
        <f>H2238*I2238</f>
        <v>0</v>
      </c>
    </row>
    <row r="2239" spans="1:10" ht="12" customHeight="1">
      <c r="A2239" s="13" t="s">
        <v>1902</v>
      </c>
      <c r="B2239" s="13" t="s">
        <v>1903</v>
      </c>
      <c r="C2239" s="13" t="s">
        <v>597</v>
      </c>
      <c r="D2239" s="13" t="s">
        <v>697</v>
      </c>
      <c r="E2239" s="13" t="s">
        <v>93</v>
      </c>
      <c r="F2239" s="13" t="s">
        <v>1904</v>
      </c>
      <c r="G2239" s="20" t="str">
        <f>HYPERLINK("https://semena-nn.ru/catalog/48/999000020537","Фото")</f>
        <v>Фото</v>
      </c>
      <c r="H2239" s="19">
        <v>26.95</v>
      </c>
      <c r="I2239" s="27"/>
      <c r="J2239" s="13">
        <f>H2239*I2239</f>
        <v>0</v>
      </c>
    </row>
    <row r="2240" spans="1:10" ht="12" customHeight="1">
      <c r="A2240" s="13" t="s">
        <v>1905</v>
      </c>
      <c r="B2240" s="13" t="s">
        <v>1906</v>
      </c>
      <c r="C2240" s="13" t="s">
        <v>597</v>
      </c>
      <c r="D2240" s="13" t="s">
        <v>697</v>
      </c>
      <c r="E2240" s="13" t="s">
        <v>93</v>
      </c>
      <c r="F2240" s="13" t="s">
        <v>1907</v>
      </c>
      <c r="G2240" s="20" t="str">
        <f>HYPERLINK("http://semena-nn.ru/catalog/48/999000004134","Фото")</f>
        <v>Фото</v>
      </c>
      <c r="H2240" s="18">
        <v>17.8</v>
      </c>
      <c r="I2240" s="27"/>
      <c r="J2240" s="13">
        <f>H2240*I2240</f>
        <v>0</v>
      </c>
    </row>
    <row r="2241" spans="1:10" ht="12" customHeight="1">
      <c r="A2241" s="13" t="s">
        <v>1908</v>
      </c>
      <c r="B2241" s="13" t="s">
        <v>1909</v>
      </c>
      <c r="C2241" s="13" t="s">
        <v>597</v>
      </c>
      <c r="D2241" s="13" t="s">
        <v>697</v>
      </c>
      <c r="E2241" s="13" t="s">
        <v>93</v>
      </c>
      <c r="F2241" s="13" t="s">
        <v>1910</v>
      </c>
      <c r="G2241" s="20" t="str">
        <f>HYPERLINK("https://semena-nn.ru/catalog/48/888000000439","Фото")</f>
        <v>Фото</v>
      </c>
      <c r="H2241" s="18">
        <v>17.8</v>
      </c>
      <c r="I2241" s="27"/>
      <c r="J2241" s="13">
        <f>H2241*I2241</f>
        <v>0</v>
      </c>
    </row>
    <row r="2242" spans="1:10" ht="12" customHeight="1">
      <c r="A2242" s="13" t="s">
        <v>3431</v>
      </c>
      <c r="B2242" s="13" t="s">
        <v>3432</v>
      </c>
      <c r="C2242" s="13" t="s">
        <v>1913</v>
      </c>
      <c r="D2242" s="13" t="s">
        <v>697</v>
      </c>
      <c r="E2242" s="13" t="s">
        <v>3064</v>
      </c>
      <c r="F2242" s="13" t="s">
        <v>3433</v>
      </c>
      <c r="G2242" s="20" t="str">
        <f>HYPERLINK("https://semena-nn.ru/catalog/49/1314290","Фото")</f>
        <v>Фото</v>
      </c>
      <c r="H2242" s="19">
        <v>12.65</v>
      </c>
      <c r="I2242" s="27"/>
      <c r="J2242" s="13">
        <f>H2242*I2242</f>
        <v>0</v>
      </c>
    </row>
    <row r="2243" spans="1:10" ht="12" customHeight="1">
      <c r="A2243" s="13" t="s">
        <v>6629</v>
      </c>
      <c r="B2243" s="13" t="s">
        <v>6630</v>
      </c>
      <c r="C2243" s="13" t="s">
        <v>1913</v>
      </c>
      <c r="D2243" s="13" t="s">
        <v>87</v>
      </c>
      <c r="E2243" s="13" t="s">
        <v>93</v>
      </c>
      <c r="F2243" s="13" t="s">
        <v>6631</v>
      </c>
      <c r="G2243" s="20" t="str">
        <f>HYPERLINK("https://semena-nn.ru/catalog/49/105877","Фото")</f>
        <v>Фото</v>
      </c>
      <c r="H2243" s="18">
        <v>12.5</v>
      </c>
      <c r="I2243" s="27"/>
      <c r="J2243" s="13">
        <f>H2243*I2243</f>
        <v>0</v>
      </c>
    </row>
    <row r="2244" spans="1:10" ht="12" customHeight="1">
      <c r="A2244" s="13" t="s">
        <v>6632</v>
      </c>
      <c r="B2244" s="13" t="s">
        <v>6633</v>
      </c>
      <c r="C2244" s="13" t="s">
        <v>1913</v>
      </c>
      <c r="D2244" s="13" t="s">
        <v>87</v>
      </c>
      <c r="E2244" s="13" t="s">
        <v>93</v>
      </c>
      <c r="F2244" s="13" t="s">
        <v>6634</v>
      </c>
      <c r="G2244" s="20" t="str">
        <f>HYPERLINK("https://semena-nn.ru/catalog/49/1312894","Фото")</f>
        <v>Фото</v>
      </c>
      <c r="H2244" s="19">
        <v>17.25</v>
      </c>
      <c r="I2244" s="27"/>
      <c r="J2244" s="13">
        <f>H2244*I2244</f>
        <v>0</v>
      </c>
    </row>
    <row r="2245" spans="1:10" ht="12" customHeight="1">
      <c r="A2245" s="13" t="s">
        <v>8291</v>
      </c>
      <c r="B2245" s="13" t="s">
        <v>8292</v>
      </c>
      <c r="C2245" s="13" t="s">
        <v>1913</v>
      </c>
      <c r="D2245" s="13" t="s">
        <v>7728</v>
      </c>
      <c r="E2245" s="13" t="s">
        <v>93</v>
      </c>
      <c r="F2245" s="13" t="s">
        <v>8293</v>
      </c>
      <c r="G2245" s="20" t="str">
        <f>HYPERLINK("http://semena-nn.ru/catalog/49/94224","Фото")</f>
        <v>Фото</v>
      </c>
      <c r="H2245" s="19">
        <v>22.05</v>
      </c>
      <c r="I2245" s="27"/>
      <c r="J2245" s="13">
        <f>H2245*I2245</f>
        <v>0</v>
      </c>
    </row>
    <row r="2246" spans="1:10" ht="12" customHeight="1">
      <c r="A2246" s="13" t="s">
        <v>8294</v>
      </c>
      <c r="B2246" s="13" t="s">
        <v>8295</v>
      </c>
      <c r="C2246" s="13" t="s">
        <v>1913</v>
      </c>
      <c r="D2246" s="13" t="s">
        <v>7728</v>
      </c>
      <c r="E2246" s="13" t="s">
        <v>93</v>
      </c>
      <c r="F2246" s="13" t="s">
        <v>8296</v>
      </c>
      <c r="G2246" s="20" t="str">
        <f>HYPERLINK("https://semena-nn.ru/catalog/49/92719","Фото")</f>
        <v>Фото</v>
      </c>
      <c r="H2246" s="18">
        <v>21.4</v>
      </c>
      <c r="I2246" s="27"/>
      <c r="J2246" s="13">
        <f>H2246*I2246</f>
        <v>0</v>
      </c>
    </row>
    <row r="2247" spans="1:10" ht="12" customHeight="1">
      <c r="A2247" s="13" t="s">
        <v>1911</v>
      </c>
      <c r="B2247" s="13" t="s">
        <v>1912</v>
      </c>
      <c r="C2247" s="13" t="s">
        <v>1913</v>
      </c>
      <c r="D2247" s="13" t="s">
        <v>697</v>
      </c>
      <c r="E2247" s="13" t="s">
        <v>93</v>
      </c>
      <c r="F2247" s="13" t="s">
        <v>1914</v>
      </c>
      <c r="G2247" s="20" t="str">
        <f>HYPERLINK("https://semena-nn.ru/catalog/49/1299544","Фото")</f>
        <v>Фото</v>
      </c>
      <c r="H2247" s="18">
        <v>20.7</v>
      </c>
      <c r="I2247" s="27"/>
      <c r="J2247" s="13">
        <f>H2247*I2247</f>
        <v>0</v>
      </c>
    </row>
    <row r="2248" spans="1:10" ht="12" customHeight="1">
      <c r="A2248" s="13" t="s">
        <v>3032</v>
      </c>
      <c r="B2248" s="13" t="s">
        <v>3033</v>
      </c>
      <c r="C2248" s="13" t="s">
        <v>1913</v>
      </c>
      <c r="D2248" s="13" t="s">
        <v>697</v>
      </c>
      <c r="E2248" s="13" t="s">
        <v>2636</v>
      </c>
      <c r="F2248" s="13" t="s">
        <v>3034</v>
      </c>
      <c r="G2248" s="20" t="str">
        <f>HYPERLINK("http://semena-nn.ru/catalog/49/999000001513","Фото")</f>
        <v>Фото</v>
      </c>
      <c r="H2248" s="18">
        <v>8.3000000000000007</v>
      </c>
      <c r="I2248" s="27"/>
      <c r="J2248" s="13">
        <f>H2248*I2248</f>
        <v>0</v>
      </c>
    </row>
    <row r="2249" spans="1:10" ht="12" customHeight="1">
      <c r="A2249" s="13" t="s">
        <v>4315</v>
      </c>
      <c r="B2249" s="13" t="s">
        <v>4316</v>
      </c>
      <c r="C2249" s="13" t="s">
        <v>1913</v>
      </c>
      <c r="D2249" s="13" t="s">
        <v>3475</v>
      </c>
      <c r="E2249" s="13" t="s">
        <v>93</v>
      </c>
      <c r="F2249" s="13" t="s">
        <v>4317</v>
      </c>
      <c r="G2249" s="20" t="str">
        <f>HYPERLINK("https://semena-nn.ru/catalog/49/1123954","Фото")</f>
        <v>Фото</v>
      </c>
      <c r="H2249" s="18">
        <v>21.5</v>
      </c>
      <c r="I2249" s="27"/>
      <c r="J2249" s="13">
        <f>H2249*I2249</f>
        <v>0</v>
      </c>
    </row>
    <row r="2250" spans="1:10" ht="12" customHeight="1">
      <c r="A2250" s="13" t="s">
        <v>3434</v>
      </c>
      <c r="B2250" s="13" t="s">
        <v>3435</v>
      </c>
      <c r="C2250" s="13" t="s">
        <v>1913</v>
      </c>
      <c r="D2250" s="13" t="s">
        <v>697</v>
      </c>
      <c r="E2250" s="13" t="s">
        <v>3064</v>
      </c>
      <c r="F2250" s="13" t="s">
        <v>3436</v>
      </c>
      <c r="G2250" s="20" t="str">
        <f>HYPERLINK("https://semena-nn.ru/catalog/49/1315361","Фото")</f>
        <v>Фото</v>
      </c>
      <c r="H2250" s="15">
        <v>14</v>
      </c>
      <c r="I2250" s="27"/>
      <c r="J2250" s="13">
        <f>H2250*I2250</f>
        <v>0</v>
      </c>
    </row>
    <row r="2251" spans="1:10" ht="12" customHeight="1">
      <c r="A2251" s="13" t="s">
        <v>1915</v>
      </c>
      <c r="B2251" s="13" t="s">
        <v>1916</v>
      </c>
      <c r="C2251" s="13" t="s">
        <v>1913</v>
      </c>
      <c r="D2251" s="13" t="s">
        <v>697</v>
      </c>
      <c r="E2251" s="13" t="s">
        <v>93</v>
      </c>
      <c r="F2251" s="13" t="s">
        <v>1917</v>
      </c>
      <c r="G2251" s="20" t="str">
        <f>HYPERLINK("http://semena-nn.ru/catalog/49/999000003660","Фото")</f>
        <v>Фото</v>
      </c>
      <c r="H2251" s="18">
        <v>20.7</v>
      </c>
      <c r="I2251" s="27"/>
      <c r="J2251" s="13">
        <f>H2251*I2251</f>
        <v>0</v>
      </c>
    </row>
    <row r="2252" spans="1:10" ht="12" customHeight="1">
      <c r="A2252" s="13" t="s">
        <v>3035</v>
      </c>
      <c r="B2252" s="13" t="s">
        <v>3036</v>
      </c>
      <c r="C2252" s="13" t="s">
        <v>1913</v>
      </c>
      <c r="D2252" s="13" t="s">
        <v>697</v>
      </c>
      <c r="E2252" s="13" t="s">
        <v>2636</v>
      </c>
      <c r="F2252" s="13" t="s">
        <v>3037</v>
      </c>
      <c r="G2252" s="20" t="str">
        <f>HYPERLINK("http://semena-nn.ru/catalog/49/999000002084","Фото")</f>
        <v>Фото</v>
      </c>
      <c r="H2252" s="18">
        <v>8.3000000000000007</v>
      </c>
      <c r="I2252" s="27"/>
      <c r="J2252" s="13">
        <f>H2252*I2252</f>
        <v>0</v>
      </c>
    </row>
    <row r="2253" spans="1:10" ht="12" customHeight="1">
      <c r="A2253" s="13" t="s">
        <v>3038</v>
      </c>
      <c r="B2253" s="13" t="s">
        <v>3039</v>
      </c>
      <c r="C2253" s="13" t="s">
        <v>1913</v>
      </c>
      <c r="D2253" s="13" t="s">
        <v>697</v>
      </c>
      <c r="E2253" s="13" t="s">
        <v>2636</v>
      </c>
      <c r="F2253" s="17" t="s">
        <v>3040</v>
      </c>
      <c r="G2253" s="20" t="str">
        <f>HYPERLINK("https://semena-nn.ru/catalog/49/3170","Фото")</f>
        <v>Фото</v>
      </c>
      <c r="H2253" s="18">
        <v>8.3000000000000007</v>
      </c>
      <c r="I2253" s="27"/>
      <c r="J2253" s="13">
        <f>H2253*I2253</f>
        <v>0</v>
      </c>
    </row>
    <row r="2254" spans="1:10" ht="12" customHeight="1">
      <c r="A2254" s="13" t="s">
        <v>4318</v>
      </c>
      <c r="B2254" s="13" t="s">
        <v>4319</v>
      </c>
      <c r="C2254" s="13" t="s">
        <v>1913</v>
      </c>
      <c r="D2254" s="13" t="s">
        <v>3475</v>
      </c>
      <c r="E2254" s="13" t="s">
        <v>93</v>
      </c>
      <c r="F2254" s="13" t="s">
        <v>4320</v>
      </c>
      <c r="G2254" s="20" t="str">
        <f>HYPERLINK("http://semena-nn.ru/catalog/49/1125687","Фото")</f>
        <v>Фото</v>
      </c>
      <c r="H2254" s="19">
        <v>18.649999999999999</v>
      </c>
      <c r="I2254" s="27"/>
      <c r="J2254" s="13">
        <f>H2254*I2254</f>
        <v>0</v>
      </c>
    </row>
    <row r="2255" spans="1:10" ht="12" customHeight="1">
      <c r="A2255" s="13" t="s">
        <v>4321</v>
      </c>
      <c r="B2255" s="13" t="s">
        <v>4322</v>
      </c>
      <c r="C2255" s="13" t="s">
        <v>1913</v>
      </c>
      <c r="D2255" s="13" t="s">
        <v>3475</v>
      </c>
      <c r="E2255" s="13" t="s">
        <v>93</v>
      </c>
      <c r="F2255" s="13" t="s">
        <v>4323</v>
      </c>
      <c r="G2255" s="20" t="str">
        <f>HYPERLINK("https://semena-nn.ru/catalog/49/100567","Фото")</f>
        <v>Фото</v>
      </c>
      <c r="H2255" s="19">
        <v>22.65</v>
      </c>
      <c r="I2255" s="27"/>
      <c r="J2255" s="13">
        <f>H2255*I2255</f>
        <v>0</v>
      </c>
    </row>
    <row r="2256" spans="1:10" ht="12" customHeight="1">
      <c r="A2256" s="13" t="s">
        <v>6635</v>
      </c>
      <c r="B2256" s="13" t="s">
        <v>6636</v>
      </c>
      <c r="C2256" s="13" t="s">
        <v>1913</v>
      </c>
      <c r="D2256" s="13" t="s">
        <v>87</v>
      </c>
      <c r="E2256" s="13" t="s">
        <v>93</v>
      </c>
      <c r="F2256" s="13" t="s">
        <v>6637</v>
      </c>
      <c r="G2256" s="20" t="str">
        <f>HYPERLINK("https://semena-nn.ru/catalog/49/96636","Фото")</f>
        <v>Фото</v>
      </c>
      <c r="H2256" s="18">
        <v>12.5</v>
      </c>
      <c r="I2256" s="27"/>
      <c r="J2256" s="13">
        <f>H2256*I2256</f>
        <v>0</v>
      </c>
    </row>
    <row r="2257" spans="1:10" ht="12" customHeight="1">
      <c r="A2257" s="13" t="s">
        <v>1918</v>
      </c>
      <c r="B2257" s="13" t="s">
        <v>1919</v>
      </c>
      <c r="C2257" s="13" t="s">
        <v>1913</v>
      </c>
      <c r="D2257" s="13" t="s">
        <v>697</v>
      </c>
      <c r="E2257" s="13" t="s">
        <v>93</v>
      </c>
      <c r="F2257" s="13" t="s">
        <v>1920</v>
      </c>
      <c r="G2257" s="20" t="str">
        <f>HYPERLINK("http://semena-nn.ru/catalog/49/1311067","Фото")</f>
        <v>Фото</v>
      </c>
      <c r="H2257" s="18">
        <v>21.9</v>
      </c>
      <c r="I2257" s="27"/>
      <c r="J2257" s="13">
        <f>H2257*I2257</f>
        <v>0</v>
      </c>
    </row>
    <row r="2258" spans="1:10" ht="12" customHeight="1">
      <c r="A2258" s="13" t="s">
        <v>6638</v>
      </c>
      <c r="B2258" s="13" t="s">
        <v>6639</v>
      </c>
      <c r="C2258" s="13" t="s">
        <v>1913</v>
      </c>
      <c r="D2258" s="13" t="s">
        <v>87</v>
      </c>
      <c r="E2258" s="13" t="s">
        <v>93</v>
      </c>
      <c r="F2258" s="13" t="s">
        <v>6640</v>
      </c>
      <c r="G2258" s="20" t="str">
        <f>HYPERLINK("https://semena-nn.ru/catalog/49/888000007738","Фото")</f>
        <v>Фото</v>
      </c>
      <c r="H2258" s="18">
        <v>12.5</v>
      </c>
      <c r="I2258" s="27"/>
      <c r="J2258" s="13">
        <f>H2258*I2258</f>
        <v>0</v>
      </c>
    </row>
    <row r="2259" spans="1:10" ht="12" customHeight="1">
      <c r="A2259" s="13" t="s">
        <v>8297</v>
      </c>
      <c r="B2259" s="13" t="s">
        <v>8298</v>
      </c>
      <c r="C2259" s="13" t="s">
        <v>1913</v>
      </c>
      <c r="D2259" s="13" t="s">
        <v>7728</v>
      </c>
      <c r="E2259" s="13" t="s">
        <v>93</v>
      </c>
      <c r="F2259" s="13" t="s">
        <v>8299</v>
      </c>
      <c r="G2259" s="20" t="str">
        <f>HYPERLINK("http://semena-nn.ru/catalog/49/1120413","Фото")</f>
        <v>Фото</v>
      </c>
      <c r="H2259" s="18">
        <v>22.4</v>
      </c>
      <c r="I2259" s="27"/>
      <c r="J2259" s="13">
        <f>H2259*I2259</f>
        <v>0</v>
      </c>
    </row>
    <row r="2260" spans="1:10" ht="12" customHeight="1">
      <c r="A2260" s="13" t="s">
        <v>6641</v>
      </c>
      <c r="B2260" s="13" t="s">
        <v>6642</v>
      </c>
      <c r="C2260" s="13" t="s">
        <v>1913</v>
      </c>
      <c r="D2260" s="13" t="s">
        <v>87</v>
      </c>
      <c r="E2260" s="13" t="s">
        <v>93</v>
      </c>
      <c r="F2260" s="13" t="s">
        <v>6643</v>
      </c>
      <c r="G2260" s="20" t="str">
        <f>HYPERLINK("https://semena-nn.ru/catalog/49/888000007739","Фото")</f>
        <v>Фото</v>
      </c>
      <c r="H2260" s="18">
        <v>12.5</v>
      </c>
      <c r="I2260" s="27"/>
      <c r="J2260" s="13">
        <f>H2260*I2260</f>
        <v>0</v>
      </c>
    </row>
    <row r="2261" spans="1:10" ht="12" customHeight="1">
      <c r="A2261" s="13" t="s">
        <v>8697</v>
      </c>
      <c r="B2261" s="13" t="s">
        <v>8698</v>
      </c>
      <c r="C2261" s="13" t="s">
        <v>601</v>
      </c>
      <c r="D2261" s="13" t="s">
        <v>8498</v>
      </c>
      <c r="E2261" s="13" t="s">
        <v>93</v>
      </c>
      <c r="F2261" s="13" t="s">
        <v>8699</v>
      </c>
      <c r="G2261" s="20" t="str">
        <f>HYPERLINK("https://semena-nn.ru/catalog/50/999000011394","Фото")</f>
        <v>Фото</v>
      </c>
      <c r="H2261" s="19">
        <v>17.05</v>
      </c>
      <c r="I2261" s="27"/>
      <c r="J2261" s="13">
        <f>H2261*I2261</f>
        <v>0</v>
      </c>
    </row>
    <row r="2262" spans="1:10" ht="12" customHeight="1">
      <c r="A2262" s="13" t="s">
        <v>6644</v>
      </c>
      <c r="B2262" s="13" t="s">
        <v>6645</v>
      </c>
      <c r="C2262" s="13" t="s">
        <v>601</v>
      </c>
      <c r="D2262" s="13" t="s">
        <v>87</v>
      </c>
      <c r="E2262" s="13" t="s">
        <v>93</v>
      </c>
      <c r="F2262" s="13" t="s">
        <v>6646</v>
      </c>
      <c r="G2262" s="20" t="str">
        <f>HYPERLINK("https://semena-nn.ru/catalog/50/1303278","Фото")</f>
        <v>Фото</v>
      </c>
      <c r="H2262" s="15">
        <v>28</v>
      </c>
      <c r="I2262" s="27"/>
      <c r="J2262" s="13">
        <f>H2262*I2262</f>
        <v>0</v>
      </c>
    </row>
    <row r="2263" spans="1:10" ht="12" customHeight="1">
      <c r="A2263" s="13" t="s">
        <v>1921</v>
      </c>
      <c r="B2263" s="13" t="s">
        <v>1922</v>
      </c>
      <c r="C2263" s="13" t="s">
        <v>601</v>
      </c>
      <c r="D2263" s="13" t="s">
        <v>697</v>
      </c>
      <c r="E2263" s="13" t="s">
        <v>93</v>
      </c>
      <c r="F2263" s="13" t="s">
        <v>1923</v>
      </c>
      <c r="G2263" s="20" t="str">
        <f>HYPERLINK("https://semena-nn.ru/catalog/50/999000011022","Фото")</f>
        <v>Фото</v>
      </c>
      <c r="H2263" s="19">
        <v>23.05</v>
      </c>
      <c r="I2263" s="27"/>
      <c r="J2263" s="13">
        <f>H2263*I2263</f>
        <v>0</v>
      </c>
    </row>
    <row r="2264" spans="1:10" ht="12" customHeight="1">
      <c r="A2264" s="13" t="s">
        <v>3041</v>
      </c>
      <c r="B2264" s="13" t="s">
        <v>3042</v>
      </c>
      <c r="C2264" s="13" t="s">
        <v>601</v>
      </c>
      <c r="D2264" s="13" t="s">
        <v>697</v>
      </c>
      <c r="E2264" s="13" t="s">
        <v>2636</v>
      </c>
      <c r="F2264" s="13" t="s">
        <v>3043</v>
      </c>
      <c r="G2264" s="20" t="str">
        <f>HYPERLINK("http://semena-nn.ru/catalog/50/108183","Фото")</f>
        <v>Фото</v>
      </c>
      <c r="H2264" s="19">
        <v>11.95</v>
      </c>
      <c r="I2264" s="27"/>
      <c r="J2264" s="13">
        <f>H2264*I2264</f>
        <v>0</v>
      </c>
    </row>
    <row r="2265" spans="1:10" ht="12" customHeight="1">
      <c r="A2265" s="13" t="s">
        <v>8300</v>
      </c>
      <c r="B2265" s="13" t="s">
        <v>8301</v>
      </c>
      <c r="C2265" s="13" t="s">
        <v>601</v>
      </c>
      <c r="D2265" s="13" t="s">
        <v>7728</v>
      </c>
      <c r="E2265" s="13" t="s">
        <v>93</v>
      </c>
      <c r="F2265" s="13" t="s">
        <v>8302</v>
      </c>
      <c r="G2265" s="20" t="str">
        <f>HYPERLINK("https://semena-nn.ru/catalog/50/97805","Фото")</f>
        <v>Фото</v>
      </c>
      <c r="H2265" s="19">
        <v>29.95</v>
      </c>
      <c r="I2265" s="27"/>
      <c r="J2265" s="13">
        <f>H2265*I2265</f>
        <v>0</v>
      </c>
    </row>
    <row r="2266" spans="1:10" ht="12" customHeight="1">
      <c r="A2266" s="13" t="s">
        <v>8700</v>
      </c>
      <c r="B2266" s="13" t="s">
        <v>8701</v>
      </c>
      <c r="C2266" s="13" t="s">
        <v>601</v>
      </c>
      <c r="D2266" s="13" t="s">
        <v>8498</v>
      </c>
      <c r="E2266" s="13" t="s">
        <v>93</v>
      </c>
      <c r="F2266" s="13" t="s">
        <v>8702</v>
      </c>
      <c r="G2266" s="20" t="str">
        <f>HYPERLINK("https://semena-nn.ru/catalog/50/999000012729","Фото")</f>
        <v>Фото</v>
      </c>
      <c r="H2266" s="19">
        <v>43.99</v>
      </c>
      <c r="I2266" s="27"/>
      <c r="J2266" s="13">
        <f>H2266*I2266</f>
        <v>0</v>
      </c>
    </row>
    <row r="2267" spans="1:10" ht="12" customHeight="1">
      <c r="A2267" s="13" t="s">
        <v>5599</v>
      </c>
      <c r="B2267" s="13" t="s">
        <v>5600</v>
      </c>
      <c r="C2267" s="13" t="s">
        <v>601</v>
      </c>
      <c r="D2267" s="13" t="s">
        <v>5136</v>
      </c>
      <c r="E2267" s="13" t="s">
        <v>93</v>
      </c>
      <c r="F2267" s="13" t="s">
        <v>5601</v>
      </c>
      <c r="G2267" s="20" t="str">
        <f>HYPERLINK("https://semena-nn.ru/catalog/50/888000000788","Фото")</f>
        <v>Фото</v>
      </c>
      <c r="H2267" s="15">
        <v>56</v>
      </c>
      <c r="I2267" s="27"/>
      <c r="J2267" s="13">
        <f>H2267*I2267</f>
        <v>0</v>
      </c>
    </row>
    <row r="2268" spans="1:10" ht="12" customHeight="1">
      <c r="A2268" s="13" t="s">
        <v>8703</v>
      </c>
      <c r="B2268" s="13" t="s">
        <v>8704</v>
      </c>
      <c r="C2268" s="13" t="s">
        <v>601</v>
      </c>
      <c r="D2268" s="13" t="s">
        <v>8498</v>
      </c>
      <c r="E2268" s="13" t="s">
        <v>93</v>
      </c>
      <c r="F2268" s="13" t="s">
        <v>8705</v>
      </c>
      <c r="G2268" s="20" t="str">
        <f>HYPERLINK("https://semena-nn.ru/catalog/50/999000011395","Фото")</f>
        <v>Фото</v>
      </c>
      <c r="H2268" s="15">
        <v>16</v>
      </c>
      <c r="I2268" s="27"/>
      <c r="J2268" s="13">
        <f>H2268*I2268</f>
        <v>0</v>
      </c>
    </row>
    <row r="2269" spans="1:10" ht="12" customHeight="1">
      <c r="A2269" s="13" t="s">
        <v>599</v>
      </c>
      <c r="B2269" s="13" t="s">
        <v>600</v>
      </c>
      <c r="C2269" s="13" t="s">
        <v>601</v>
      </c>
      <c r="D2269" s="13" t="s">
        <v>28</v>
      </c>
      <c r="E2269" s="13" t="s">
        <v>93</v>
      </c>
      <c r="F2269" s="13" t="s">
        <v>602</v>
      </c>
      <c r="G2269" s="20" t="str">
        <f>HYPERLINK("https://semena-nn.ru/catalog/50/999000020351","Фото")</f>
        <v>Фото</v>
      </c>
      <c r="H2269" s="19">
        <v>25.15</v>
      </c>
      <c r="I2269" s="27"/>
      <c r="J2269" s="13">
        <f>H2269*I2269</f>
        <v>0</v>
      </c>
    </row>
    <row r="2270" spans="1:10" ht="12" customHeight="1">
      <c r="A2270" s="13" t="s">
        <v>8706</v>
      </c>
      <c r="B2270" s="13" t="s">
        <v>8707</v>
      </c>
      <c r="C2270" s="13" t="s">
        <v>601</v>
      </c>
      <c r="D2270" s="13" t="s">
        <v>8498</v>
      </c>
      <c r="E2270" s="13" t="s">
        <v>93</v>
      </c>
      <c r="F2270" s="13" t="s">
        <v>8708</v>
      </c>
      <c r="G2270" s="20" t="str">
        <f>HYPERLINK("https://semena-nn.ru/catalog/50/999000012731","Фото")</f>
        <v>Фото</v>
      </c>
      <c r="H2270" s="18">
        <v>15.7</v>
      </c>
      <c r="I2270" s="27"/>
      <c r="J2270" s="13">
        <f>H2270*I2270</f>
        <v>0</v>
      </c>
    </row>
    <row r="2271" spans="1:10" ht="12" customHeight="1">
      <c r="A2271" s="13" t="s">
        <v>8709</v>
      </c>
      <c r="B2271" s="13" t="s">
        <v>8710</v>
      </c>
      <c r="C2271" s="13" t="s">
        <v>601</v>
      </c>
      <c r="D2271" s="13" t="s">
        <v>8498</v>
      </c>
      <c r="E2271" s="13" t="s">
        <v>93</v>
      </c>
      <c r="F2271" s="13" t="s">
        <v>8711</v>
      </c>
      <c r="G2271" s="20" t="str">
        <f>HYPERLINK("https://semena-nn.ru/catalog/50/999000020159","Фото")</f>
        <v>Фото</v>
      </c>
      <c r="H2271" s="18">
        <v>15.7</v>
      </c>
      <c r="I2271" s="27"/>
      <c r="J2271" s="13">
        <f>H2271*I2271</f>
        <v>0</v>
      </c>
    </row>
    <row r="2272" spans="1:10" ht="12" customHeight="1">
      <c r="A2272" s="13" t="s">
        <v>1924</v>
      </c>
      <c r="B2272" s="13" t="s">
        <v>1925</v>
      </c>
      <c r="C2272" s="13" t="s">
        <v>601</v>
      </c>
      <c r="D2272" s="13" t="s">
        <v>697</v>
      </c>
      <c r="E2272" s="13" t="s">
        <v>93</v>
      </c>
      <c r="F2272" s="13" t="s">
        <v>1926</v>
      </c>
      <c r="G2272" s="20" t="str">
        <f>HYPERLINK("http://semena-nn.ru/catalog/50/1127166","Фото")</f>
        <v>Фото</v>
      </c>
      <c r="H2272" s="18">
        <v>22.7</v>
      </c>
      <c r="I2272" s="27"/>
      <c r="J2272" s="13">
        <f>H2272*I2272</f>
        <v>0</v>
      </c>
    </row>
    <row r="2273" spans="1:10" ht="12" customHeight="1">
      <c r="A2273" s="13" t="s">
        <v>3044</v>
      </c>
      <c r="B2273" s="13" t="s">
        <v>3045</v>
      </c>
      <c r="C2273" s="13" t="s">
        <v>601</v>
      </c>
      <c r="D2273" s="13" t="s">
        <v>697</v>
      </c>
      <c r="E2273" s="13" t="s">
        <v>2636</v>
      </c>
      <c r="F2273" s="13" t="s">
        <v>3046</v>
      </c>
      <c r="G2273" s="20" t="str">
        <f>HYPERLINK("http://semena-nn.ru/catalog/50/80475","Фото")</f>
        <v>Фото</v>
      </c>
      <c r="H2273" s="19">
        <v>8.85</v>
      </c>
      <c r="I2273" s="27"/>
      <c r="J2273" s="13">
        <f>H2273*I2273</f>
        <v>0</v>
      </c>
    </row>
    <row r="2274" spans="1:10" ht="12" customHeight="1">
      <c r="A2274" s="13" t="s">
        <v>8712</v>
      </c>
      <c r="B2274" s="13" t="s">
        <v>8713</v>
      </c>
      <c r="C2274" s="13" t="s">
        <v>601</v>
      </c>
      <c r="D2274" s="13" t="s">
        <v>8498</v>
      </c>
      <c r="E2274" s="13" t="s">
        <v>93</v>
      </c>
      <c r="F2274" s="13" t="s">
        <v>8714</v>
      </c>
      <c r="G2274" s="20" t="str">
        <f>HYPERLINK("https://semena-nn.ru/catalog/50/999000011397","Фото")</f>
        <v>Фото</v>
      </c>
      <c r="H2274" s="19">
        <v>17.25</v>
      </c>
      <c r="I2274" s="27"/>
      <c r="J2274" s="13">
        <f>H2274*I2274</f>
        <v>0</v>
      </c>
    </row>
    <row r="2275" spans="1:10" ht="12" customHeight="1">
      <c r="A2275" s="13" t="s">
        <v>1927</v>
      </c>
      <c r="B2275" s="13" t="s">
        <v>1928</v>
      </c>
      <c r="C2275" s="13" t="s">
        <v>601</v>
      </c>
      <c r="D2275" s="13" t="s">
        <v>697</v>
      </c>
      <c r="E2275" s="13" t="s">
        <v>93</v>
      </c>
      <c r="F2275" s="13" t="s">
        <v>1929</v>
      </c>
      <c r="G2275" s="20" t="str">
        <f>HYPERLINK("https://semena-nn.ru/catalog/50/1304369","Фото")</f>
        <v>Фото</v>
      </c>
      <c r="H2275" s="19">
        <v>23.05</v>
      </c>
      <c r="I2275" s="27"/>
      <c r="J2275" s="13">
        <f>H2275*I2275</f>
        <v>0</v>
      </c>
    </row>
    <row r="2276" spans="1:10" ht="12" customHeight="1">
      <c r="A2276" s="13" t="s">
        <v>8303</v>
      </c>
      <c r="B2276" s="13" t="s">
        <v>8304</v>
      </c>
      <c r="C2276" s="13" t="s">
        <v>601</v>
      </c>
      <c r="D2276" s="13" t="s">
        <v>7728</v>
      </c>
      <c r="E2276" s="13" t="s">
        <v>93</v>
      </c>
      <c r="F2276" s="13" t="s">
        <v>8305</v>
      </c>
      <c r="G2276" s="20" t="str">
        <f>HYPERLINK("https://semena-nn.ru/catalog/50/96505","Фото")</f>
        <v>Фото</v>
      </c>
      <c r="H2276" s="19">
        <v>29.75</v>
      </c>
      <c r="I2276" s="27"/>
      <c r="J2276" s="13">
        <f>H2276*I2276</f>
        <v>0</v>
      </c>
    </row>
    <row r="2277" spans="1:10" ht="12" customHeight="1">
      <c r="A2277" s="13" t="s">
        <v>3047</v>
      </c>
      <c r="B2277" s="13" t="s">
        <v>3048</v>
      </c>
      <c r="C2277" s="13" t="s">
        <v>601</v>
      </c>
      <c r="D2277" s="13" t="s">
        <v>697</v>
      </c>
      <c r="E2277" s="13" t="s">
        <v>2636</v>
      </c>
      <c r="F2277" s="13" t="s">
        <v>3049</v>
      </c>
      <c r="G2277" s="20" t="str">
        <f>HYPERLINK("http://semena-nn.ru/catalog/50/97387","Фото")</f>
        <v>Фото</v>
      </c>
      <c r="H2277" s="18">
        <v>12.7</v>
      </c>
      <c r="I2277" s="27"/>
      <c r="J2277" s="13">
        <f>H2277*I2277</f>
        <v>0</v>
      </c>
    </row>
    <row r="2278" spans="1:10" ht="12" customHeight="1">
      <c r="A2278" s="13" t="s">
        <v>4324</v>
      </c>
      <c r="B2278" s="13" t="s">
        <v>4325</v>
      </c>
      <c r="C2278" s="13" t="s">
        <v>601</v>
      </c>
      <c r="D2278" s="13" t="s">
        <v>3475</v>
      </c>
      <c r="E2278" s="13" t="s">
        <v>93</v>
      </c>
      <c r="F2278" s="13" t="s">
        <v>4326</v>
      </c>
      <c r="G2278" s="20" t="str">
        <f>HYPERLINK("https://semena-nn.ru/catalog/50/999000011098","Фото")</f>
        <v>Фото</v>
      </c>
      <c r="H2278" s="18">
        <v>18.7</v>
      </c>
      <c r="I2278" s="27"/>
      <c r="J2278" s="13">
        <f>H2278*I2278</f>
        <v>0</v>
      </c>
    </row>
    <row r="2279" spans="1:10" ht="12" customHeight="1">
      <c r="A2279" s="13" t="s">
        <v>4327</v>
      </c>
      <c r="B2279" s="13" t="s">
        <v>4328</v>
      </c>
      <c r="C2279" s="13" t="s">
        <v>601</v>
      </c>
      <c r="D2279" s="13" t="s">
        <v>3475</v>
      </c>
      <c r="E2279" s="13" t="s">
        <v>93</v>
      </c>
      <c r="F2279" s="13" t="s">
        <v>4329</v>
      </c>
      <c r="G2279" s="20" t="str">
        <f>HYPERLINK("https://semena-nn.ru/catalog/50/999000008391","Фото")</f>
        <v>Фото</v>
      </c>
      <c r="H2279" s="19">
        <v>26.25</v>
      </c>
      <c r="I2279" s="27"/>
      <c r="J2279" s="13">
        <f>H2279*I2279</f>
        <v>0</v>
      </c>
    </row>
    <row r="2280" spans="1:10" ht="12" customHeight="1">
      <c r="A2280" s="13" t="s">
        <v>8306</v>
      </c>
      <c r="B2280" s="13" t="s">
        <v>8307</v>
      </c>
      <c r="C2280" s="13" t="s">
        <v>696</v>
      </c>
      <c r="D2280" s="13" t="s">
        <v>7728</v>
      </c>
      <c r="E2280" s="13" t="s">
        <v>93</v>
      </c>
      <c r="F2280" s="13" t="s">
        <v>8308</v>
      </c>
      <c r="G2280" s="20" t="str">
        <f>HYPERLINK("https://semena-nn.ru/catalog/38/1283300","Фото")</f>
        <v>Фото</v>
      </c>
      <c r="H2280" s="18">
        <v>23.7</v>
      </c>
      <c r="I2280" s="27"/>
      <c r="J2280" s="13">
        <f>H2280*I2280</f>
        <v>0</v>
      </c>
    </row>
    <row r="2281" spans="1:10" ht="12" customHeight="1">
      <c r="A2281" s="13" t="s">
        <v>4330</v>
      </c>
      <c r="B2281" s="13" t="s">
        <v>4331</v>
      </c>
      <c r="C2281" s="13" t="s">
        <v>696</v>
      </c>
      <c r="D2281" s="13" t="s">
        <v>3475</v>
      </c>
      <c r="E2281" s="13" t="s">
        <v>93</v>
      </c>
      <c r="F2281" s="13" t="s">
        <v>4332</v>
      </c>
      <c r="G2281" s="20" t="str">
        <f>HYPERLINK("https://semena-nn.ru/catalog/38/102370","Фото")</f>
        <v>Фото</v>
      </c>
      <c r="H2281" s="15">
        <v>18</v>
      </c>
      <c r="I2281" s="27"/>
      <c r="J2281" s="13">
        <f>H2281*I2281</f>
        <v>0</v>
      </c>
    </row>
    <row r="2282" spans="1:10" ht="12" customHeight="1">
      <c r="A2282" s="13" t="s">
        <v>5602</v>
      </c>
      <c r="B2282" s="13" t="s">
        <v>5603</v>
      </c>
      <c r="C2282" s="13" t="s">
        <v>406</v>
      </c>
      <c r="D2282" s="13" t="s">
        <v>5136</v>
      </c>
      <c r="E2282" s="13" t="s">
        <v>93</v>
      </c>
      <c r="F2282" s="13" t="s">
        <v>5604</v>
      </c>
      <c r="G2282" s="20" t="str">
        <f>HYPERLINK("https://semena-nn.ru/catalog/38/999000020420","Фото")</f>
        <v>Фото</v>
      </c>
      <c r="H2282" s="18">
        <v>34.5</v>
      </c>
      <c r="I2282" s="27"/>
      <c r="J2282" s="13">
        <f>H2282*I2282</f>
        <v>0</v>
      </c>
    </row>
    <row r="2283" spans="1:10" ht="12" customHeight="1">
      <c r="A2283" s="13" t="s">
        <v>6647</v>
      </c>
      <c r="B2283" s="13" t="s">
        <v>6648</v>
      </c>
      <c r="C2283" s="13" t="s">
        <v>624</v>
      </c>
      <c r="D2283" s="13" t="s">
        <v>87</v>
      </c>
      <c r="E2283" s="13" t="s">
        <v>93</v>
      </c>
      <c r="F2283" s="13" t="s">
        <v>6649</v>
      </c>
      <c r="G2283" s="20" t="str">
        <f>HYPERLINK("https://semena-nn.ru/catalog/57/100417","Фото")</f>
        <v>Фото</v>
      </c>
      <c r="H2283" s="18">
        <v>22.6</v>
      </c>
      <c r="I2283" s="27"/>
      <c r="J2283" s="13">
        <f>H2283*I2283</f>
        <v>0</v>
      </c>
    </row>
    <row r="2284" spans="1:10" ht="12" customHeight="1">
      <c r="A2284" s="13" t="s">
        <v>1930</v>
      </c>
      <c r="B2284" s="13" t="s">
        <v>1931</v>
      </c>
      <c r="C2284" s="13" t="s">
        <v>605</v>
      </c>
      <c r="D2284" s="13" t="s">
        <v>697</v>
      </c>
      <c r="E2284" s="13" t="s">
        <v>93</v>
      </c>
      <c r="F2284" s="13" t="s">
        <v>1932</v>
      </c>
      <c r="G2284" s="20" t="str">
        <f>HYPERLINK("https://semena-nn.ru/catalog/55/999000009201","Фото")</f>
        <v>Фото</v>
      </c>
      <c r="H2284" s="19">
        <v>23.55</v>
      </c>
      <c r="I2284" s="27"/>
      <c r="J2284" s="13">
        <f>H2284*I2284</f>
        <v>0</v>
      </c>
    </row>
    <row r="2285" spans="1:10" ht="12" customHeight="1">
      <c r="A2285" s="13" t="s">
        <v>1933</v>
      </c>
      <c r="B2285" s="13" t="s">
        <v>1934</v>
      </c>
      <c r="C2285" s="13" t="s">
        <v>605</v>
      </c>
      <c r="D2285" s="13" t="s">
        <v>697</v>
      </c>
      <c r="E2285" s="13" t="s">
        <v>93</v>
      </c>
      <c r="F2285" s="13" t="s">
        <v>1935</v>
      </c>
      <c r="G2285" s="20" t="str">
        <f>HYPERLINK("https://semena-nn.ru/catalog/55/888000007520","Фото")</f>
        <v>Фото</v>
      </c>
      <c r="H2285" s="18">
        <v>17.8</v>
      </c>
      <c r="I2285" s="27"/>
      <c r="J2285" s="13">
        <f>H2285*I2285</f>
        <v>0</v>
      </c>
    </row>
    <row r="2286" spans="1:10" ht="12" customHeight="1">
      <c r="A2286" s="13" t="s">
        <v>4333</v>
      </c>
      <c r="B2286" s="13" t="s">
        <v>4334</v>
      </c>
      <c r="C2286" s="13" t="s">
        <v>605</v>
      </c>
      <c r="D2286" s="13" t="s">
        <v>3475</v>
      </c>
      <c r="E2286" s="13" t="s">
        <v>93</v>
      </c>
      <c r="F2286" s="13" t="s">
        <v>4335</v>
      </c>
      <c r="G2286" s="20" t="str">
        <f>HYPERLINK("http://semena-nn.ru/catalog/55/113784","Фото")</f>
        <v>Фото</v>
      </c>
      <c r="H2286" s="18">
        <v>18.7</v>
      </c>
      <c r="I2286" s="27"/>
      <c r="J2286" s="13">
        <f>H2286*I2286</f>
        <v>0</v>
      </c>
    </row>
    <row r="2287" spans="1:10" ht="12" customHeight="1">
      <c r="A2287" s="13" t="s">
        <v>1936</v>
      </c>
      <c r="B2287" s="13" t="s">
        <v>1937</v>
      </c>
      <c r="C2287" s="13" t="s">
        <v>605</v>
      </c>
      <c r="D2287" s="13" t="s">
        <v>697</v>
      </c>
      <c r="E2287" s="13" t="s">
        <v>93</v>
      </c>
      <c r="F2287" s="13" t="s">
        <v>1938</v>
      </c>
      <c r="G2287" s="20" t="str">
        <f>HYPERLINK("https://semena-nn.ru/catalog/55/888000007521","Фото")</f>
        <v>Фото</v>
      </c>
      <c r="H2287" s="18">
        <v>17.8</v>
      </c>
      <c r="I2287" s="27"/>
      <c r="J2287" s="13">
        <f>H2287*I2287</f>
        <v>0</v>
      </c>
    </row>
    <row r="2288" spans="1:10" ht="12" customHeight="1">
      <c r="A2288" s="13" t="s">
        <v>1939</v>
      </c>
      <c r="B2288" s="13" t="s">
        <v>1940</v>
      </c>
      <c r="C2288" s="13" t="s">
        <v>605</v>
      </c>
      <c r="D2288" s="13" t="s">
        <v>697</v>
      </c>
      <c r="E2288" s="13" t="s">
        <v>93</v>
      </c>
      <c r="F2288" s="13" t="s">
        <v>1941</v>
      </c>
      <c r="G2288" s="20" t="str">
        <f>HYPERLINK("https://semena-nn.ru/catalog/55/1282697","Фото")</f>
        <v>Фото</v>
      </c>
      <c r="H2288" s="19">
        <v>18.95</v>
      </c>
      <c r="I2288" s="27"/>
      <c r="J2288" s="13">
        <f>H2288*I2288</f>
        <v>0</v>
      </c>
    </row>
    <row r="2289" spans="1:10" ht="12" customHeight="1">
      <c r="A2289" s="13" t="s">
        <v>4336</v>
      </c>
      <c r="B2289" s="13" t="s">
        <v>4337</v>
      </c>
      <c r="C2289" s="13" t="s">
        <v>605</v>
      </c>
      <c r="D2289" s="13" t="s">
        <v>3475</v>
      </c>
      <c r="E2289" s="13" t="s">
        <v>93</v>
      </c>
      <c r="F2289" s="13" t="s">
        <v>4338</v>
      </c>
      <c r="G2289" s="20" t="str">
        <f>HYPERLINK("https://semena-nn.ru/catalog/55/888000007612","Фото")</f>
        <v>Фото</v>
      </c>
      <c r="H2289" s="18">
        <v>18.7</v>
      </c>
      <c r="I2289" s="27"/>
      <c r="J2289" s="13">
        <f>H2289*I2289</f>
        <v>0</v>
      </c>
    </row>
    <row r="2290" spans="1:10" ht="12" customHeight="1">
      <c r="A2290" s="13" t="s">
        <v>603</v>
      </c>
      <c r="B2290" s="13" t="s">
        <v>604</v>
      </c>
      <c r="C2290" s="13" t="s">
        <v>605</v>
      </c>
      <c r="D2290" s="13" t="s">
        <v>28</v>
      </c>
      <c r="E2290" s="13" t="s">
        <v>93</v>
      </c>
      <c r="F2290" s="13" t="s">
        <v>606</v>
      </c>
      <c r="G2290" s="20" t="str">
        <f>HYPERLINK("https://semena-nn.ru/catalog/55/999000012968","Фото")</f>
        <v>Фото</v>
      </c>
      <c r="H2290" s="19">
        <v>20.48</v>
      </c>
      <c r="I2290" s="27"/>
      <c r="J2290" s="13">
        <f>H2290*I2290</f>
        <v>0</v>
      </c>
    </row>
    <row r="2291" spans="1:10" ht="12" customHeight="1">
      <c r="A2291" s="13" t="s">
        <v>4339</v>
      </c>
      <c r="B2291" s="13" t="s">
        <v>4340</v>
      </c>
      <c r="C2291" s="13" t="s">
        <v>605</v>
      </c>
      <c r="D2291" s="13" t="s">
        <v>3475</v>
      </c>
      <c r="E2291" s="13" t="s">
        <v>93</v>
      </c>
      <c r="F2291" s="13" t="s">
        <v>4341</v>
      </c>
      <c r="G2291" s="20" t="str">
        <f>HYPERLINK("https://semena-nn.ru/catalog/55/999000009842","Фото")</f>
        <v>Фото</v>
      </c>
      <c r="H2291" s="18">
        <v>18.7</v>
      </c>
      <c r="I2291" s="27"/>
      <c r="J2291" s="13">
        <f>H2291*I2291</f>
        <v>0</v>
      </c>
    </row>
    <row r="2292" spans="1:10" ht="12" customHeight="1">
      <c r="A2292" s="13" t="s">
        <v>6650</v>
      </c>
      <c r="B2292" s="13" t="s">
        <v>6651</v>
      </c>
      <c r="C2292" s="13" t="s">
        <v>605</v>
      </c>
      <c r="D2292" s="13" t="s">
        <v>87</v>
      </c>
      <c r="E2292" s="13" t="s">
        <v>93</v>
      </c>
      <c r="F2292" s="13" t="s">
        <v>6652</v>
      </c>
      <c r="G2292" s="20" t="str">
        <f>HYPERLINK("http://semena-nn.ru/catalog/55/999000006589","Фото")</f>
        <v>Фото</v>
      </c>
      <c r="H2292" s="18">
        <v>18.8</v>
      </c>
      <c r="I2292" s="27"/>
      <c r="J2292" s="13">
        <f>H2292*I2292</f>
        <v>0</v>
      </c>
    </row>
    <row r="2293" spans="1:10" ht="12" customHeight="1">
      <c r="A2293" s="13" t="s">
        <v>4342</v>
      </c>
      <c r="B2293" s="13" t="s">
        <v>4343</v>
      </c>
      <c r="C2293" s="13" t="s">
        <v>605</v>
      </c>
      <c r="D2293" s="13" t="s">
        <v>3475</v>
      </c>
      <c r="E2293" s="13" t="s">
        <v>93</v>
      </c>
      <c r="F2293" s="13" t="s">
        <v>4344</v>
      </c>
      <c r="G2293" s="20" t="str">
        <f>HYPERLINK("http://semena-nn.ru/catalog/55/1282592","Фото")</f>
        <v>Фото</v>
      </c>
      <c r="H2293" s="18">
        <v>18.7</v>
      </c>
      <c r="I2293" s="27"/>
      <c r="J2293" s="13">
        <f>H2293*I2293</f>
        <v>0</v>
      </c>
    </row>
    <row r="2294" spans="1:10" ht="12" customHeight="1">
      <c r="A2294" s="13" t="s">
        <v>5605</v>
      </c>
      <c r="B2294" s="13" t="s">
        <v>5606</v>
      </c>
      <c r="C2294" s="13" t="s">
        <v>624</v>
      </c>
      <c r="D2294" s="13" t="s">
        <v>5136</v>
      </c>
      <c r="E2294" s="13" t="s">
        <v>93</v>
      </c>
      <c r="F2294" s="13" t="s">
        <v>5607</v>
      </c>
      <c r="G2294" s="20" t="str">
        <f>HYPERLINK("https://semena-nn.ru/catalog/57/999000013249","Фото")</f>
        <v>Фото</v>
      </c>
      <c r="H2294" s="15">
        <v>181</v>
      </c>
      <c r="I2294" s="27"/>
      <c r="J2294" s="13">
        <f>H2294*I2294</f>
        <v>0</v>
      </c>
    </row>
    <row r="2295" spans="1:10" ht="12" customHeight="1">
      <c r="A2295" s="13" t="s">
        <v>5608</v>
      </c>
      <c r="B2295" s="13" t="s">
        <v>5609</v>
      </c>
      <c r="C2295" s="13" t="s">
        <v>624</v>
      </c>
      <c r="D2295" s="13" t="s">
        <v>5136</v>
      </c>
      <c r="E2295" s="13" t="s">
        <v>93</v>
      </c>
      <c r="F2295" s="13" t="s">
        <v>5610</v>
      </c>
      <c r="G2295" s="20" t="str">
        <f>HYPERLINK("https://semena-nn.ru/catalog/57/999000013250","Фото")</f>
        <v>Фото</v>
      </c>
      <c r="H2295" s="15">
        <v>181</v>
      </c>
      <c r="I2295" s="27"/>
      <c r="J2295" s="13">
        <f>H2295*I2295</f>
        <v>0</v>
      </c>
    </row>
    <row r="2296" spans="1:10" ht="12" customHeight="1">
      <c r="A2296" s="13" t="s">
        <v>5611</v>
      </c>
      <c r="B2296" s="13" t="s">
        <v>5612</v>
      </c>
      <c r="C2296" s="13" t="s">
        <v>624</v>
      </c>
      <c r="D2296" s="13" t="s">
        <v>5136</v>
      </c>
      <c r="E2296" s="13" t="s">
        <v>93</v>
      </c>
      <c r="F2296" s="13" t="s">
        <v>5613</v>
      </c>
      <c r="G2296" s="20" t="str">
        <f>HYPERLINK("https://semena-nn.ru/catalog/57/999000013251","Фото")</f>
        <v>Фото</v>
      </c>
      <c r="H2296" s="15">
        <v>181</v>
      </c>
      <c r="I2296" s="27"/>
      <c r="J2296" s="13">
        <f>H2296*I2296</f>
        <v>0</v>
      </c>
    </row>
    <row r="2297" spans="1:10" ht="12" customHeight="1">
      <c r="A2297" s="13" t="s">
        <v>5614</v>
      </c>
      <c r="B2297" s="13" t="s">
        <v>5615</v>
      </c>
      <c r="C2297" s="13" t="s">
        <v>624</v>
      </c>
      <c r="D2297" s="13" t="s">
        <v>5136</v>
      </c>
      <c r="E2297" s="13" t="s">
        <v>93</v>
      </c>
      <c r="F2297" s="13" t="s">
        <v>5616</v>
      </c>
      <c r="G2297" s="20" t="str">
        <f>HYPERLINK("https://semena-nn.ru/catalog/57/999000013252","Фото")</f>
        <v>Фото</v>
      </c>
      <c r="H2297" s="15">
        <v>181</v>
      </c>
      <c r="I2297" s="27"/>
      <c r="J2297" s="13">
        <f>H2297*I2297</f>
        <v>0</v>
      </c>
    </row>
    <row r="2298" spans="1:10" ht="12" customHeight="1">
      <c r="A2298" s="13" t="s">
        <v>5617</v>
      </c>
      <c r="B2298" s="13" t="s">
        <v>5618</v>
      </c>
      <c r="C2298" s="13" t="s">
        <v>624</v>
      </c>
      <c r="D2298" s="13" t="s">
        <v>5136</v>
      </c>
      <c r="E2298" s="13" t="s">
        <v>93</v>
      </c>
      <c r="F2298" s="13" t="s">
        <v>5613</v>
      </c>
      <c r="G2298" s="20" t="str">
        <f>HYPERLINK("https://semena-nn.ru/catalog/57/999000013253","Фото")</f>
        <v>Фото</v>
      </c>
      <c r="H2298" s="15">
        <v>181</v>
      </c>
      <c r="I2298" s="27"/>
      <c r="J2298" s="13">
        <f>H2298*I2298</f>
        <v>0</v>
      </c>
    </row>
    <row r="2299" spans="1:10" ht="12" customHeight="1">
      <c r="A2299" s="13" t="s">
        <v>5619</v>
      </c>
      <c r="B2299" s="13" t="s">
        <v>5620</v>
      </c>
      <c r="C2299" s="13" t="s">
        <v>624</v>
      </c>
      <c r="D2299" s="13" t="s">
        <v>5136</v>
      </c>
      <c r="E2299" s="13" t="s">
        <v>93</v>
      </c>
      <c r="F2299" s="13" t="s">
        <v>5621</v>
      </c>
      <c r="G2299" s="20" t="str">
        <f>HYPERLINK("https://semena-nn.ru/catalog/57/999000013254","Фото")</f>
        <v>Фото</v>
      </c>
      <c r="H2299" s="15">
        <v>181</v>
      </c>
      <c r="I2299" s="27"/>
      <c r="J2299" s="13">
        <f>H2299*I2299</f>
        <v>0</v>
      </c>
    </row>
    <row r="2300" spans="1:10" ht="12" customHeight="1">
      <c r="A2300" s="13" t="s">
        <v>4345</v>
      </c>
      <c r="B2300" s="13" t="s">
        <v>4346</v>
      </c>
      <c r="C2300" s="13" t="s">
        <v>671</v>
      </c>
      <c r="D2300" s="13" t="s">
        <v>3475</v>
      </c>
      <c r="E2300" s="13" t="s">
        <v>93</v>
      </c>
      <c r="F2300" s="13" t="s">
        <v>4347</v>
      </c>
      <c r="G2300" s="20" t="str">
        <f>HYPERLINK("https://semena-nn.ru/catalog/56/999000009325","Фото")</f>
        <v>Фото</v>
      </c>
      <c r="H2300" s="18">
        <v>18.7</v>
      </c>
      <c r="I2300" s="27"/>
      <c r="J2300" s="13">
        <f>H2300*I2300</f>
        <v>0</v>
      </c>
    </row>
    <row r="2301" spans="1:10" ht="12" customHeight="1">
      <c r="A2301" s="13" t="s">
        <v>4348</v>
      </c>
      <c r="B2301" s="13" t="s">
        <v>4349</v>
      </c>
      <c r="C2301" s="13" t="s">
        <v>671</v>
      </c>
      <c r="D2301" s="13" t="s">
        <v>3475</v>
      </c>
      <c r="E2301" s="13" t="s">
        <v>93</v>
      </c>
      <c r="F2301" s="13" t="s">
        <v>4350</v>
      </c>
      <c r="G2301" s="20" t="str">
        <f>HYPERLINK("https://semena-nn.ru/catalog/56/888000007611","Фото")</f>
        <v>Фото</v>
      </c>
      <c r="H2301" s="18">
        <v>18.7</v>
      </c>
      <c r="I2301" s="27"/>
      <c r="J2301" s="13">
        <f>H2301*I2301</f>
        <v>0</v>
      </c>
    </row>
    <row r="2302" spans="1:10" ht="12" customHeight="1">
      <c r="A2302" s="13" t="s">
        <v>4351</v>
      </c>
      <c r="B2302" s="13" t="s">
        <v>4352</v>
      </c>
      <c r="C2302" s="13" t="s">
        <v>671</v>
      </c>
      <c r="D2302" s="13" t="s">
        <v>3475</v>
      </c>
      <c r="E2302" s="13" t="s">
        <v>93</v>
      </c>
      <c r="F2302" s="13" t="s">
        <v>4353</v>
      </c>
      <c r="G2302" s="20" t="str">
        <f>HYPERLINK("https://semena-nn.ru/catalog/56/1119484","Фото")</f>
        <v>Фото</v>
      </c>
      <c r="H2302" s="18">
        <v>18.7</v>
      </c>
      <c r="I2302" s="27"/>
      <c r="J2302" s="13">
        <f>H2302*I2302</f>
        <v>0</v>
      </c>
    </row>
    <row r="2303" spans="1:10" ht="12" customHeight="1">
      <c r="A2303" s="13" t="s">
        <v>6653</v>
      </c>
      <c r="B2303" s="13" t="s">
        <v>6654</v>
      </c>
      <c r="C2303" s="13" t="s">
        <v>605</v>
      </c>
      <c r="D2303" s="13" t="s">
        <v>87</v>
      </c>
      <c r="E2303" s="13" t="s">
        <v>93</v>
      </c>
      <c r="F2303" s="13" t="s">
        <v>6655</v>
      </c>
      <c r="G2303" s="20" t="str">
        <f>HYPERLINK("http://semena-nn.ru/catalog/55/1287962","Фото")</f>
        <v>Фото</v>
      </c>
      <c r="H2303" s="18">
        <v>18.100000000000001</v>
      </c>
      <c r="I2303" s="27"/>
      <c r="J2303" s="13">
        <f>H2303*I2303</f>
        <v>0</v>
      </c>
    </row>
    <row r="2304" spans="1:10" ht="12" customHeight="1">
      <c r="A2304" s="13" t="s">
        <v>3437</v>
      </c>
      <c r="B2304" s="13" t="s">
        <v>3438</v>
      </c>
      <c r="C2304" s="13" t="s">
        <v>671</v>
      </c>
      <c r="D2304" s="13" t="s">
        <v>697</v>
      </c>
      <c r="E2304" s="13" t="s">
        <v>3064</v>
      </c>
      <c r="F2304" s="13" t="s">
        <v>3439</v>
      </c>
      <c r="G2304" s="20" t="str">
        <f>HYPERLINK("https://semena-nn.ru/catalog/56/999000010974","Фото")</f>
        <v>Фото</v>
      </c>
      <c r="H2304" s="19">
        <v>12.65</v>
      </c>
      <c r="I2304" s="27"/>
      <c r="J2304" s="13">
        <f>H2304*I2304</f>
        <v>0</v>
      </c>
    </row>
    <row r="2305" spans="1:10" ht="12" customHeight="1">
      <c r="A2305" s="13" t="s">
        <v>1942</v>
      </c>
      <c r="B2305" s="13" t="s">
        <v>1943</v>
      </c>
      <c r="C2305" s="13" t="s">
        <v>605</v>
      </c>
      <c r="D2305" s="13" t="s">
        <v>697</v>
      </c>
      <c r="E2305" s="13" t="s">
        <v>93</v>
      </c>
      <c r="F2305" s="13" t="s">
        <v>1944</v>
      </c>
      <c r="G2305" s="20" t="str">
        <f>HYPERLINK("http://semena-nn.ru/catalog/55/999000001186","Фото")</f>
        <v>Фото</v>
      </c>
      <c r="H2305" s="18">
        <v>17.8</v>
      </c>
      <c r="I2305" s="27"/>
      <c r="J2305" s="13">
        <f>H2305*I2305</f>
        <v>0</v>
      </c>
    </row>
    <row r="2306" spans="1:10" ht="12" customHeight="1">
      <c r="A2306" s="13" t="s">
        <v>1945</v>
      </c>
      <c r="B2306" s="13" t="s">
        <v>1946</v>
      </c>
      <c r="C2306" s="13" t="s">
        <v>671</v>
      </c>
      <c r="D2306" s="13" t="s">
        <v>697</v>
      </c>
      <c r="E2306" s="13" t="s">
        <v>93</v>
      </c>
      <c r="F2306" s="13" t="s">
        <v>1947</v>
      </c>
      <c r="G2306" s="20" t="str">
        <f>HYPERLINK("https://semena-nn.ru/catalog/56/888000000608","Фото")</f>
        <v>Фото</v>
      </c>
      <c r="H2306" s="19">
        <v>21.45</v>
      </c>
      <c r="I2306" s="27"/>
      <c r="J2306" s="13">
        <f>H2306*I2306</f>
        <v>0</v>
      </c>
    </row>
    <row r="2307" spans="1:10" ht="12" customHeight="1">
      <c r="A2307" s="13" t="s">
        <v>1948</v>
      </c>
      <c r="B2307" s="13" t="s">
        <v>1949</v>
      </c>
      <c r="C2307" s="13" t="s">
        <v>671</v>
      </c>
      <c r="D2307" s="13" t="s">
        <v>697</v>
      </c>
      <c r="E2307" s="13" t="s">
        <v>93</v>
      </c>
      <c r="F2307" s="13" t="s">
        <v>1950</v>
      </c>
      <c r="G2307" s="20" t="str">
        <f>HYPERLINK("https://semena-nn.ru/catalog/56/1124563","Фото")</f>
        <v>Фото</v>
      </c>
      <c r="H2307" s="19">
        <v>25.85</v>
      </c>
      <c r="I2307" s="27"/>
      <c r="J2307" s="13">
        <f>H2307*I2307</f>
        <v>0</v>
      </c>
    </row>
    <row r="2308" spans="1:10" ht="12" customHeight="1">
      <c r="A2308" s="13" t="s">
        <v>1951</v>
      </c>
      <c r="B2308" s="13" t="s">
        <v>1952</v>
      </c>
      <c r="C2308" s="13" t="s">
        <v>605</v>
      </c>
      <c r="D2308" s="13" t="s">
        <v>697</v>
      </c>
      <c r="E2308" s="13" t="s">
        <v>93</v>
      </c>
      <c r="F2308" s="13" t="s">
        <v>1953</v>
      </c>
      <c r="G2308" s="20" t="str">
        <f>HYPERLINK("https://semena-nn.ru/catalog/55/1125696","Фото")</f>
        <v>Фото</v>
      </c>
      <c r="H2308" s="18">
        <v>17.8</v>
      </c>
      <c r="I2308" s="27"/>
      <c r="J2308" s="13">
        <f>H2308*I2308</f>
        <v>0</v>
      </c>
    </row>
    <row r="2309" spans="1:10" ht="12" customHeight="1">
      <c r="A2309" s="13" t="s">
        <v>4354</v>
      </c>
      <c r="B2309" s="13" t="s">
        <v>4355</v>
      </c>
      <c r="C2309" s="13" t="s">
        <v>605</v>
      </c>
      <c r="D2309" s="13" t="s">
        <v>3475</v>
      </c>
      <c r="E2309" s="13" t="s">
        <v>93</v>
      </c>
      <c r="F2309" s="13" t="s">
        <v>4356</v>
      </c>
      <c r="G2309" s="20" t="str">
        <f>HYPERLINK("https://semena-nn.ru/catalog/55/999000011407","Фото")</f>
        <v>Фото</v>
      </c>
      <c r="H2309" s="18">
        <v>18.7</v>
      </c>
      <c r="I2309" s="27"/>
      <c r="J2309" s="13">
        <f>H2309*I2309</f>
        <v>0</v>
      </c>
    </row>
    <row r="2310" spans="1:10" ht="12" customHeight="1">
      <c r="A2310" s="13" t="s">
        <v>1954</v>
      </c>
      <c r="B2310" s="13" t="s">
        <v>1955</v>
      </c>
      <c r="C2310" s="13" t="s">
        <v>605</v>
      </c>
      <c r="D2310" s="13" t="s">
        <v>697</v>
      </c>
      <c r="E2310" s="13" t="s">
        <v>93</v>
      </c>
      <c r="F2310" s="13" t="s">
        <v>1956</v>
      </c>
      <c r="G2310" s="20" t="str">
        <f>HYPERLINK("http://semena-nn.ru/catalog/55/1285278","Фото")</f>
        <v>Фото</v>
      </c>
      <c r="H2310" s="18">
        <v>26.4</v>
      </c>
      <c r="I2310" s="27"/>
      <c r="J2310" s="13">
        <f>H2310*I2310</f>
        <v>0</v>
      </c>
    </row>
    <row r="2311" spans="1:10" ht="12" customHeight="1">
      <c r="A2311" s="13" t="s">
        <v>4357</v>
      </c>
      <c r="B2311" s="13" t="s">
        <v>4358</v>
      </c>
      <c r="C2311" s="13" t="s">
        <v>624</v>
      </c>
      <c r="D2311" s="13" t="s">
        <v>3475</v>
      </c>
      <c r="E2311" s="13" t="s">
        <v>93</v>
      </c>
      <c r="F2311" s="13" t="s">
        <v>4359</v>
      </c>
      <c r="G2311" s="20" t="str">
        <f>HYPERLINK("https://semena-nn.ru/catalog/57/999000013072","Фото")</f>
        <v>Фото</v>
      </c>
      <c r="H2311" s="18">
        <v>56.7</v>
      </c>
      <c r="I2311" s="27"/>
      <c r="J2311" s="13">
        <f>H2311*I2311</f>
        <v>0</v>
      </c>
    </row>
    <row r="2312" spans="1:10" ht="12" customHeight="1">
      <c r="A2312" s="13" t="s">
        <v>1957</v>
      </c>
      <c r="B2312" s="13" t="s">
        <v>1958</v>
      </c>
      <c r="C2312" s="13" t="s">
        <v>671</v>
      </c>
      <c r="D2312" s="13" t="s">
        <v>697</v>
      </c>
      <c r="E2312" s="13" t="s">
        <v>93</v>
      </c>
      <c r="F2312" s="13" t="s">
        <v>1959</v>
      </c>
      <c r="G2312" s="20" t="str">
        <f>HYPERLINK("https://semena-nn.ru/catalog/56/888000000884","Фото")</f>
        <v>Фото</v>
      </c>
      <c r="H2312" s="18">
        <v>17.8</v>
      </c>
      <c r="I2312" s="27"/>
      <c r="J2312" s="13">
        <f>H2312*I2312</f>
        <v>0</v>
      </c>
    </row>
    <row r="2313" spans="1:10" ht="12" customHeight="1">
      <c r="A2313" s="13" t="s">
        <v>1960</v>
      </c>
      <c r="B2313" s="13" t="s">
        <v>1961</v>
      </c>
      <c r="C2313" s="13" t="s">
        <v>671</v>
      </c>
      <c r="D2313" s="13" t="s">
        <v>697</v>
      </c>
      <c r="E2313" s="13" t="s">
        <v>93</v>
      </c>
      <c r="F2313" s="13" t="s">
        <v>1962</v>
      </c>
      <c r="G2313" s="20" t="str">
        <f>HYPERLINK("https://semena-nn.ru/catalog/56/999000013129","Фото")</f>
        <v>Фото</v>
      </c>
      <c r="H2313" s="19">
        <v>25.75</v>
      </c>
      <c r="I2313" s="27"/>
      <c r="J2313" s="13">
        <f>H2313*I2313</f>
        <v>0</v>
      </c>
    </row>
    <row r="2314" spans="1:10" ht="12" customHeight="1">
      <c r="A2314" s="13" t="s">
        <v>4360</v>
      </c>
      <c r="B2314" s="13" t="s">
        <v>4361</v>
      </c>
      <c r="C2314" s="13" t="s">
        <v>671</v>
      </c>
      <c r="D2314" s="13" t="s">
        <v>3475</v>
      </c>
      <c r="E2314" s="13" t="s">
        <v>93</v>
      </c>
      <c r="F2314" s="13" t="s">
        <v>4362</v>
      </c>
      <c r="G2314" s="20" t="str">
        <f>HYPERLINK("https://semena-nn.ru/catalog/56/1116819","Фото")</f>
        <v>Фото</v>
      </c>
      <c r="H2314" s="18">
        <v>18.7</v>
      </c>
      <c r="I2314" s="27"/>
      <c r="J2314" s="13">
        <f>H2314*I2314</f>
        <v>0</v>
      </c>
    </row>
    <row r="2315" spans="1:10" ht="12" customHeight="1">
      <c r="A2315" s="13" t="s">
        <v>5622</v>
      </c>
      <c r="B2315" s="13" t="s">
        <v>5623</v>
      </c>
      <c r="C2315" s="13" t="s">
        <v>624</v>
      </c>
      <c r="D2315" s="13" t="s">
        <v>5136</v>
      </c>
      <c r="E2315" s="13" t="s">
        <v>93</v>
      </c>
      <c r="F2315" s="13" t="s">
        <v>5624</v>
      </c>
      <c r="G2315" s="20" t="str">
        <f>HYPERLINK("https://semena-nn.ru/catalog/57/888000000789","Фото")</f>
        <v>Фото</v>
      </c>
      <c r="H2315" s="18">
        <v>60.8</v>
      </c>
      <c r="I2315" s="27"/>
      <c r="J2315" s="13">
        <f>H2315*I2315</f>
        <v>0</v>
      </c>
    </row>
    <row r="2316" spans="1:10" ht="12" customHeight="1">
      <c r="A2316" s="13" t="s">
        <v>1963</v>
      </c>
      <c r="B2316" s="13" t="s">
        <v>1964</v>
      </c>
      <c r="C2316" s="13" t="s">
        <v>605</v>
      </c>
      <c r="D2316" s="13" t="s">
        <v>697</v>
      </c>
      <c r="E2316" s="13" t="s">
        <v>93</v>
      </c>
      <c r="F2316" s="13" t="s">
        <v>1965</v>
      </c>
      <c r="G2316" s="20" t="str">
        <f>HYPERLINK("https://semena-nn.ru/catalog/55/1116621","Фото")</f>
        <v>Фото</v>
      </c>
      <c r="H2316" s="18">
        <v>18.7</v>
      </c>
      <c r="I2316" s="27"/>
      <c r="J2316" s="13">
        <f>H2316*I2316</f>
        <v>0</v>
      </c>
    </row>
    <row r="2317" spans="1:10" ht="12" customHeight="1">
      <c r="A2317" s="13" t="s">
        <v>4363</v>
      </c>
      <c r="B2317" s="13" t="s">
        <v>4364</v>
      </c>
      <c r="C2317" s="13" t="s">
        <v>605</v>
      </c>
      <c r="D2317" s="13" t="s">
        <v>3475</v>
      </c>
      <c r="E2317" s="13" t="s">
        <v>93</v>
      </c>
      <c r="F2317" s="13" t="s">
        <v>4365</v>
      </c>
      <c r="G2317" s="20" t="str">
        <f>HYPERLINK("https://semena-nn.ru/catalog/55/999000012766","Фото")</f>
        <v>Фото</v>
      </c>
      <c r="H2317" s="18">
        <v>35.700000000000003</v>
      </c>
      <c r="I2317" s="27"/>
      <c r="J2317" s="13">
        <f>H2317*I2317</f>
        <v>0</v>
      </c>
    </row>
    <row r="2318" spans="1:10" ht="12" customHeight="1">
      <c r="A2318" s="13" t="s">
        <v>1966</v>
      </c>
      <c r="B2318" s="13" t="s">
        <v>1967</v>
      </c>
      <c r="C2318" s="13" t="s">
        <v>605</v>
      </c>
      <c r="D2318" s="13" t="s">
        <v>697</v>
      </c>
      <c r="E2318" s="13" t="s">
        <v>93</v>
      </c>
      <c r="F2318" s="13" t="s">
        <v>1968</v>
      </c>
      <c r="G2318" s="20" t="str">
        <f>HYPERLINK("https://semena-nn.ru/catalog/55/999000009236","Фото")</f>
        <v>Фото</v>
      </c>
      <c r="H2318" s="18">
        <v>30.6</v>
      </c>
      <c r="I2318" s="27"/>
      <c r="J2318" s="13">
        <f>H2318*I2318</f>
        <v>0</v>
      </c>
    </row>
    <row r="2319" spans="1:10" ht="12" customHeight="1">
      <c r="A2319" s="13" t="s">
        <v>1969</v>
      </c>
      <c r="B2319" s="13" t="s">
        <v>1970</v>
      </c>
      <c r="C2319" s="13" t="s">
        <v>605</v>
      </c>
      <c r="D2319" s="13" t="s">
        <v>697</v>
      </c>
      <c r="E2319" s="13" t="s">
        <v>93</v>
      </c>
      <c r="F2319" s="13" t="s">
        <v>1971</v>
      </c>
      <c r="G2319" s="20" t="str">
        <f>HYPERLINK("https://semena-nn.ru/catalog/55/1283018","Фото")</f>
        <v>Фото</v>
      </c>
      <c r="H2319" s="18">
        <v>20.2</v>
      </c>
      <c r="I2319" s="27"/>
      <c r="J2319" s="13">
        <f>H2319*I2319</f>
        <v>0</v>
      </c>
    </row>
    <row r="2320" spans="1:10" ht="12" customHeight="1">
      <c r="A2320" s="13" t="s">
        <v>1972</v>
      </c>
      <c r="B2320" s="13" t="s">
        <v>1973</v>
      </c>
      <c r="C2320" s="13" t="s">
        <v>605</v>
      </c>
      <c r="D2320" s="13" t="s">
        <v>697</v>
      </c>
      <c r="E2320" s="13" t="s">
        <v>93</v>
      </c>
      <c r="F2320" s="13" t="s">
        <v>1974</v>
      </c>
      <c r="G2320" s="20" t="str">
        <f>HYPERLINK("http://semena-nn.ru/catalog/55/1301094","Фото")</f>
        <v>Фото</v>
      </c>
      <c r="H2320" s="18">
        <v>20.2</v>
      </c>
      <c r="I2320" s="27"/>
      <c r="J2320" s="13">
        <f>H2320*I2320</f>
        <v>0</v>
      </c>
    </row>
    <row r="2321" spans="1:10" ht="12" customHeight="1">
      <c r="A2321" s="13" t="s">
        <v>1975</v>
      </c>
      <c r="B2321" s="13" t="s">
        <v>1976</v>
      </c>
      <c r="C2321" s="13" t="s">
        <v>605</v>
      </c>
      <c r="D2321" s="13" t="s">
        <v>697</v>
      </c>
      <c r="E2321" s="13" t="s">
        <v>93</v>
      </c>
      <c r="F2321" s="13" t="s">
        <v>1977</v>
      </c>
      <c r="G2321" s="20" t="str">
        <f>HYPERLINK("http://semena-nn.ru/catalog/55/1125344","Фото")</f>
        <v>Фото</v>
      </c>
      <c r="H2321" s="18">
        <v>17.8</v>
      </c>
      <c r="I2321" s="27"/>
      <c r="J2321" s="13">
        <f>H2321*I2321</f>
        <v>0</v>
      </c>
    </row>
    <row r="2322" spans="1:10" ht="12" customHeight="1">
      <c r="A2322" s="13" t="s">
        <v>1978</v>
      </c>
      <c r="B2322" s="13" t="s">
        <v>1979</v>
      </c>
      <c r="C2322" s="13" t="s">
        <v>605</v>
      </c>
      <c r="D2322" s="13" t="s">
        <v>697</v>
      </c>
      <c r="E2322" s="13" t="s">
        <v>93</v>
      </c>
      <c r="F2322" s="13" t="s">
        <v>1980</v>
      </c>
      <c r="G2322" s="20" t="str">
        <f>HYPERLINK("https://semena-nn.ru/catalog/55/999000006287","Фото")</f>
        <v>Фото</v>
      </c>
      <c r="H2322" s="18">
        <v>22.2</v>
      </c>
      <c r="I2322" s="27"/>
      <c r="J2322" s="13">
        <f>H2322*I2322</f>
        <v>0</v>
      </c>
    </row>
    <row r="2323" spans="1:10" ht="12" customHeight="1">
      <c r="A2323" s="13" t="s">
        <v>1981</v>
      </c>
      <c r="B2323" s="13" t="s">
        <v>1982</v>
      </c>
      <c r="C2323" s="13" t="s">
        <v>605</v>
      </c>
      <c r="D2323" s="13" t="s">
        <v>697</v>
      </c>
      <c r="E2323" s="13" t="s">
        <v>93</v>
      </c>
      <c r="F2323" s="13" t="s">
        <v>1983</v>
      </c>
      <c r="G2323" s="20" t="str">
        <f>HYPERLINK("https://semena-nn.ru/catalog/55/888000007809","Фото")</f>
        <v>Фото</v>
      </c>
      <c r="H2323" s="18">
        <v>20.100000000000001</v>
      </c>
      <c r="I2323" s="27"/>
      <c r="J2323" s="13">
        <f>H2323*I2323</f>
        <v>0</v>
      </c>
    </row>
    <row r="2324" spans="1:10" ht="12" customHeight="1">
      <c r="A2324" s="13" t="s">
        <v>4366</v>
      </c>
      <c r="B2324" s="13" t="s">
        <v>4367</v>
      </c>
      <c r="C2324" s="13" t="s">
        <v>605</v>
      </c>
      <c r="D2324" s="13" t="s">
        <v>3475</v>
      </c>
      <c r="E2324" s="13" t="s">
        <v>93</v>
      </c>
      <c r="F2324" s="13" t="s">
        <v>4368</v>
      </c>
      <c r="G2324" s="20" t="str">
        <f>HYPERLINK("https://semena-nn.ru/catalog/55/113382","Фото")</f>
        <v>Фото</v>
      </c>
      <c r="H2324" s="18">
        <v>18.7</v>
      </c>
      <c r="I2324" s="27"/>
      <c r="J2324" s="13">
        <f>H2324*I2324</f>
        <v>0</v>
      </c>
    </row>
    <row r="2325" spans="1:10" ht="12" customHeight="1">
      <c r="A2325" s="13" t="s">
        <v>4369</v>
      </c>
      <c r="B2325" s="13" t="s">
        <v>4370</v>
      </c>
      <c r="C2325" s="13" t="s">
        <v>605</v>
      </c>
      <c r="D2325" s="13" t="s">
        <v>3475</v>
      </c>
      <c r="E2325" s="13" t="s">
        <v>93</v>
      </c>
      <c r="F2325" s="13" t="s">
        <v>4371</v>
      </c>
      <c r="G2325" s="20" t="str">
        <f>HYPERLINK("https://semena-nn.ru/catalog/55/888000007565","Фото")</f>
        <v>Фото</v>
      </c>
      <c r="H2325" s="18">
        <v>18.7</v>
      </c>
      <c r="I2325" s="27"/>
      <c r="J2325" s="13">
        <f>H2325*I2325</f>
        <v>0</v>
      </c>
    </row>
    <row r="2326" spans="1:10" ht="12" customHeight="1">
      <c r="A2326" s="13" t="s">
        <v>1984</v>
      </c>
      <c r="B2326" s="13" t="s">
        <v>1985</v>
      </c>
      <c r="C2326" s="13" t="s">
        <v>605</v>
      </c>
      <c r="D2326" s="13" t="s">
        <v>697</v>
      </c>
      <c r="E2326" s="13" t="s">
        <v>93</v>
      </c>
      <c r="F2326" s="13" t="s">
        <v>1986</v>
      </c>
      <c r="G2326" s="20" t="str">
        <f>HYPERLINK("https://semena-nn.ru/catalog/55/1313243","Фото")</f>
        <v>Фото</v>
      </c>
      <c r="H2326" s="19">
        <v>19.149999999999999</v>
      </c>
      <c r="I2326" s="27"/>
      <c r="J2326" s="13">
        <f>H2326*I2326</f>
        <v>0</v>
      </c>
    </row>
    <row r="2327" spans="1:10" ht="12" customHeight="1">
      <c r="A2327" s="13" t="s">
        <v>1987</v>
      </c>
      <c r="B2327" s="13" t="s">
        <v>1988</v>
      </c>
      <c r="C2327" s="13" t="s">
        <v>605</v>
      </c>
      <c r="D2327" s="13" t="s">
        <v>697</v>
      </c>
      <c r="E2327" s="13" t="s">
        <v>93</v>
      </c>
      <c r="F2327" s="13" t="s">
        <v>1989</v>
      </c>
      <c r="G2327" s="20" t="str">
        <f>HYPERLINK("https://semena-nn.ru/catalog/55/101226","Фото")</f>
        <v>Фото</v>
      </c>
      <c r="H2327" s="18">
        <v>17.8</v>
      </c>
      <c r="I2327" s="27"/>
      <c r="J2327" s="13">
        <f>H2327*I2327</f>
        <v>0</v>
      </c>
    </row>
    <row r="2328" spans="1:10" ht="12" customHeight="1">
      <c r="A2328" s="13" t="s">
        <v>4372</v>
      </c>
      <c r="B2328" s="13" t="s">
        <v>4373</v>
      </c>
      <c r="C2328" s="13" t="s">
        <v>605</v>
      </c>
      <c r="D2328" s="13" t="s">
        <v>3475</v>
      </c>
      <c r="E2328" s="13" t="s">
        <v>93</v>
      </c>
      <c r="F2328" s="13" t="s">
        <v>4374</v>
      </c>
      <c r="G2328" s="20" t="str">
        <f>HYPERLINK("http://semena-nn.ru/catalog/55/1310838","Фото")</f>
        <v>Фото</v>
      </c>
      <c r="H2328" s="18">
        <v>18.7</v>
      </c>
      <c r="I2328" s="27"/>
      <c r="J2328" s="13">
        <f>H2328*I2328</f>
        <v>0</v>
      </c>
    </row>
    <row r="2329" spans="1:10" ht="12" customHeight="1">
      <c r="A2329" s="13" t="s">
        <v>1990</v>
      </c>
      <c r="B2329" s="13" t="s">
        <v>1991</v>
      </c>
      <c r="C2329" s="13" t="s">
        <v>605</v>
      </c>
      <c r="D2329" s="13" t="s">
        <v>697</v>
      </c>
      <c r="E2329" s="13" t="s">
        <v>93</v>
      </c>
      <c r="F2329" s="13" t="s">
        <v>1992</v>
      </c>
      <c r="G2329" s="20" t="str">
        <f>HYPERLINK("http://semena-nn.ru/catalog/55/1282698","Фото")</f>
        <v>Фото</v>
      </c>
      <c r="H2329" s="19">
        <v>19.149999999999999</v>
      </c>
      <c r="I2329" s="27"/>
      <c r="J2329" s="13">
        <f>H2329*I2329</f>
        <v>0</v>
      </c>
    </row>
    <row r="2330" spans="1:10" ht="12" customHeight="1">
      <c r="A2330" s="13" t="s">
        <v>1993</v>
      </c>
      <c r="B2330" s="13" t="s">
        <v>1994</v>
      </c>
      <c r="C2330" s="13" t="s">
        <v>605</v>
      </c>
      <c r="D2330" s="13" t="s">
        <v>697</v>
      </c>
      <c r="E2330" s="13" t="s">
        <v>93</v>
      </c>
      <c r="F2330" s="13" t="s">
        <v>1995</v>
      </c>
      <c r="G2330" s="20" t="str">
        <f>HYPERLINK("https://semena-nn.ru/catalog/55/1309188","Фото")</f>
        <v>Фото</v>
      </c>
      <c r="H2330" s="19">
        <v>19.149999999999999</v>
      </c>
      <c r="I2330" s="27"/>
      <c r="J2330" s="13">
        <f>H2330*I2330</f>
        <v>0</v>
      </c>
    </row>
    <row r="2331" spans="1:10" ht="12" customHeight="1">
      <c r="A2331" s="13" t="s">
        <v>1996</v>
      </c>
      <c r="B2331" s="13" t="s">
        <v>1997</v>
      </c>
      <c r="C2331" s="13" t="s">
        <v>605</v>
      </c>
      <c r="D2331" s="13" t="s">
        <v>697</v>
      </c>
      <c r="E2331" s="13" t="s">
        <v>93</v>
      </c>
      <c r="F2331" s="13" t="s">
        <v>1998</v>
      </c>
      <c r="G2331" s="20" t="str">
        <f>HYPERLINK("http://semena-nn.ru/catalog/55/95227","Фото")</f>
        <v>Фото</v>
      </c>
      <c r="H2331" s="18">
        <v>21.2</v>
      </c>
      <c r="I2331" s="27"/>
      <c r="J2331" s="13">
        <f>H2331*I2331</f>
        <v>0</v>
      </c>
    </row>
    <row r="2332" spans="1:10" ht="12" customHeight="1">
      <c r="A2332" s="13" t="s">
        <v>4375</v>
      </c>
      <c r="B2332" s="13" t="s">
        <v>4376</v>
      </c>
      <c r="C2332" s="13" t="s">
        <v>605</v>
      </c>
      <c r="D2332" s="13" t="s">
        <v>3475</v>
      </c>
      <c r="E2332" s="13" t="s">
        <v>93</v>
      </c>
      <c r="F2332" s="13" t="s">
        <v>4377</v>
      </c>
      <c r="G2332" s="20" t="str">
        <f>HYPERLINK("https://semena-nn.ru/catalog/55/1310913","Фото")</f>
        <v>Фото</v>
      </c>
      <c r="H2332" s="19">
        <v>20.95</v>
      </c>
      <c r="I2332" s="27"/>
      <c r="J2332" s="13">
        <f>H2332*I2332</f>
        <v>0</v>
      </c>
    </row>
    <row r="2333" spans="1:10" ht="12" customHeight="1">
      <c r="A2333" s="13" t="s">
        <v>4378</v>
      </c>
      <c r="B2333" s="13" t="s">
        <v>4379</v>
      </c>
      <c r="C2333" s="13" t="s">
        <v>605</v>
      </c>
      <c r="D2333" s="13" t="s">
        <v>3475</v>
      </c>
      <c r="E2333" s="13" t="s">
        <v>93</v>
      </c>
      <c r="F2333" s="13" t="s">
        <v>4380</v>
      </c>
      <c r="G2333" s="20" t="str">
        <f>HYPERLINK("https://semena-nn.ru/catalog/55/1288386","Фото")</f>
        <v>Фото</v>
      </c>
      <c r="H2333" s="19">
        <v>20.95</v>
      </c>
      <c r="I2333" s="27"/>
      <c r="J2333" s="13">
        <f>H2333*I2333</f>
        <v>0</v>
      </c>
    </row>
    <row r="2334" spans="1:10" ht="12" customHeight="1">
      <c r="A2334" s="13" t="s">
        <v>1999</v>
      </c>
      <c r="B2334" s="13" t="s">
        <v>2000</v>
      </c>
      <c r="C2334" s="13" t="s">
        <v>605</v>
      </c>
      <c r="D2334" s="13" t="s">
        <v>697</v>
      </c>
      <c r="E2334" s="13" t="s">
        <v>93</v>
      </c>
      <c r="F2334" s="17" t="s">
        <v>2001</v>
      </c>
      <c r="G2334" s="20" t="str">
        <f>HYPERLINK("http://semena-nn.ru/catalog/55/105357","Фото")</f>
        <v>Фото</v>
      </c>
      <c r="H2334" s="18">
        <v>21.5</v>
      </c>
      <c r="I2334" s="27"/>
      <c r="J2334" s="13">
        <f>H2334*I2334</f>
        <v>0</v>
      </c>
    </row>
    <row r="2335" spans="1:10" ht="12" customHeight="1">
      <c r="A2335" s="13" t="s">
        <v>4381</v>
      </c>
      <c r="B2335" s="13" t="s">
        <v>4382</v>
      </c>
      <c r="C2335" s="13" t="s">
        <v>671</v>
      </c>
      <c r="D2335" s="13" t="s">
        <v>3475</v>
      </c>
      <c r="E2335" s="13" t="s">
        <v>93</v>
      </c>
      <c r="F2335" s="13" t="s">
        <v>4383</v>
      </c>
      <c r="G2335" s="20" t="str">
        <f>HYPERLINK("http://semena-nn.ru/catalog/56/1115398","Фото")</f>
        <v>Фото</v>
      </c>
      <c r="H2335" s="18">
        <v>18.7</v>
      </c>
      <c r="I2335" s="27"/>
      <c r="J2335" s="13">
        <f>H2335*I2335</f>
        <v>0</v>
      </c>
    </row>
    <row r="2336" spans="1:10" ht="12" customHeight="1">
      <c r="A2336" s="13" t="s">
        <v>4384</v>
      </c>
      <c r="B2336" s="13" t="s">
        <v>4385</v>
      </c>
      <c r="C2336" s="13" t="s">
        <v>605</v>
      </c>
      <c r="D2336" s="13" t="s">
        <v>3475</v>
      </c>
      <c r="E2336" s="13" t="s">
        <v>93</v>
      </c>
      <c r="F2336" s="13" t="s">
        <v>4386</v>
      </c>
      <c r="G2336" s="20" t="str">
        <f>HYPERLINK("http://semena-nn.ru/catalog/55/1126613","Фото")</f>
        <v>Фото</v>
      </c>
      <c r="H2336" s="18">
        <v>18.7</v>
      </c>
      <c r="I2336" s="27"/>
      <c r="J2336" s="13">
        <f>H2336*I2336</f>
        <v>0</v>
      </c>
    </row>
    <row r="2337" spans="1:10" ht="12" customHeight="1">
      <c r="A2337" s="13" t="s">
        <v>4387</v>
      </c>
      <c r="B2337" s="13" t="s">
        <v>4388</v>
      </c>
      <c r="C2337" s="13" t="s">
        <v>605</v>
      </c>
      <c r="D2337" s="13" t="s">
        <v>3475</v>
      </c>
      <c r="E2337" s="13" t="s">
        <v>93</v>
      </c>
      <c r="F2337" s="13" t="s">
        <v>4389</v>
      </c>
      <c r="G2337" s="20" t="str">
        <f>HYPERLINK("http://semena-nn.ru/catalog/55/114219","Фото")</f>
        <v>Фото</v>
      </c>
      <c r="H2337" s="18">
        <v>18.7</v>
      </c>
      <c r="I2337" s="27"/>
      <c r="J2337" s="13">
        <f>H2337*I2337</f>
        <v>0</v>
      </c>
    </row>
    <row r="2338" spans="1:10" ht="12" customHeight="1">
      <c r="A2338" s="13" t="s">
        <v>4390</v>
      </c>
      <c r="B2338" s="13" t="s">
        <v>4391</v>
      </c>
      <c r="C2338" s="13" t="s">
        <v>605</v>
      </c>
      <c r="D2338" s="13" t="s">
        <v>3475</v>
      </c>
      <c r="E2338" s="13" t="s">
        <v>93</v>
      </c>
      <c r="F2338" s="13" t="s">
        <v>4392</v>
      </c>
      <c r="G2338" s="20" t="str">
        <f>HYPERLINK("https://semena-nn.ru/catalog/55/113392","Фото")</f>
        <v>Фото</v>
      </c>
      <c r="H2338" s="18">
        <v>18.7</v>
      </c>
      <c r="I2338" s="27"/>
      <c r="J2338" s="13">
        <f>H2338*I2338</f>
        <v>0</v>
      </c>
    </row>
    <row r="2339" spans="1:10" ht="12" customHeight="1">
      <c r="A2339" s="13" t="s">
        <v>4393</v>
      </c>
      <c r="B2339" s="13" t="s">
        <v>4394</v>
      </c>
      <c r="C2339" s="13" t="s">
        <v>605</v>
      </c>
      <c r="D2339" s="13" t="s">
        <v>3475</v>
      </c>
      <c r="E2339" s="13" t="s">
        <v>93</v>
      </c>
      <c r="F2339" s="13" t="s">
        <v>4395</v>
      </c>
      <c r="G2339" s="20" t="str">
        <f>HYPERLINK("https://semena-nn.ru/catalog/55/999000020016","Фото")</f>
        <v>Фото</v>
      </c>
      <c r="H2339" s="18">
        <v>18.7</v>
      </c>
      <c r="I2339" s="27"/>
      <c r="J2339" s="13">
        <f>H2339*I2339</f>
        <v>0</v>
      </c>
    </row>
    <row r="2340" spans="1:10" ht="12" customHeight="1">
      <c r="A2340" s="13" t="s">
        <v>4396</v>
      </c>
      <c r="B2340" s="13" t="s">
        <v>4397</v>
      </c>
      <c r="C2340" s="13" t="s">
        <v>605</v>
      </c>
      <c r="D2340" s="13" t="s">
        <v>3475</v>
      </c>
      <c r="E2340" s="13" t="s">
        <v>93</v>
      </c>
      <c r="F2340" s="13" t="s">
        <v>4398</v>
      </c>
      <c r="G2340" s="20" t="str">
        <f>HYPERLINK("https://semena-nn.ru/catalog/55/888000007567","Фото")</f>
        <v>Фото</v>
      </c>
      <c r="H2340" s="18">
        <v>18.7</v>
      </c>
      <c r="I2340" s="27"/>
      <c r="J2340" s="13">
        <f>H2340*I2340</f>
        <v>0</v>
      </c>
    </row>
    <row r="2341" spans="1:10" ht="12" customHeight="1">
      <c r="A2341" s="13" t="s">
        <v>6656</v>
      </c>
      <c r="B2341" s="13" t="s">
        <v>6657</v>
      </c>
      <c r="C2341" s="13" t="s">
        <v>605</v>
      </c>
      <c r="D2341" s="13" t="s">
        <v>87</v>
      </c>
      <c r="E2341" s="13" t="s">
        <v>93</v>
      </c>
      <c r="F2341" s="13" t="s">
        <v>6658</v>
      </c>
      <c r="G2341" s="20" t="str">
        <f>HYPERLINK("https://semena-nn.ru/catalog/55/888000001649","Фото")</f>
        <v>Фото</v>
      </c>
      <c r="H2341" s="18">
        <v>54.6</v>
      </c>
      <c r="I2341" s="27"/>
      <c r="J2341" s="13">
        <f>H2341*I2341</f>
        <v>0</v>
      </c>
    </row>
    <row r="2342" spans="1:10" ht="12" customHeight="1">
      <c r="A2342" s="13" t="s">
        <v>6659</v>
      </c>
      <c r="B2342" s="13" t="s">
        <v>6660</v>
      </c>
      <c r="C2342" s="13" t="s">
        <v>605</v>
      </c>
      <c r="D2342" s="13" t="s">
        <v>87</v>
      </c>
      <c r="E2342" s="13" t="s">
        <v>93</v>
      </c>
      <c r="F2342" s="13" t="s">
        <v>6661</v>
      </c>
      <c r="G2342" s="20" t="str">
        <f>HYPERLINK("https://semena-nn.ru/catalog/55/888000001650","Фото")</f>
        <v>Фото</v>
      </c>
      <c r="H2342" s="18">
        <v>54.6</v>
      </c>
      <c r="I2342" s="27"/>
      <c r="J2342" s="13">
        <f>H2342*I2342</f>
        <v>0</v>
      </c>
    </row>
    <row r="2343" spans="1:10" ht="12" customHeight="1">
      <c r="A2343" s="13" t="s">
        <v>6662</v>
      </c>
      <c r="B2343" s="13" t="s">
        <v>6663</v>
      </c>
      <c r="C2343" s="13" t="s">
        <v>605</v>
      </c>
      <c r="D2343" s="13" t="s">
        <v>87</v>
      </c>
      <c r="E2343" s="13" t="s">
        <v>93</v>
      </c>
      <c r="F2343" s="13" t="s">
        <v>6664</v>
      </c>
      <c r="G2343" s="20" t="str">
        <f>HYPERLINK("https://semena-nn.ru/catalog/55/888000001651","Фото")</f>
        <v>Фото</v>
      </c>
      <c r="H2343" s="18">
        <v>54.6</v>
      </c>
      <c r="I2343" s="27"/>
      <c r="J2343" s="13">
        <f>H2343*I2343</f>
        <v>0</v>
      </c>
    </row>
    <row r="2344" spans="1:10" ht="12" customHeight="1">
      <c r="A2344" s="13" t="s">
        <v>6665</v>
      </c>
      <c r="B2344" s="13" t="s">
        <v>6666</v>
      </c>
      <c r="C2344" s="13" t="s">
        <v>605</v>
      </c>
      <c r="D2344" s="13" t="s">
        <v>87</v>
      </c>
      <c r="E2344" s="13" t="s">
        <v>93</v>
      </c>
      <c r="F2344" s="13" t="s">
        <v>6667</v>
      </c>
      <c r="G2344" s="20" t="str">
        <f>HYPERLINK("https://semena-nn.ru/catalog/55/888000001652","Фото")</f>
        <v>Фото</v>
      </c>
      <c r="H2344" s="18">
        <v>54.6</v>
      </c>
      <c r="I2344" s="27"/>
      <c r="J2344" s="13">
        <f>H2344*I2344</f>
        <v>0</v>
      </c>
    </row>
    <row r="2345" spans="1:10" ht="12" customHeight="1">
      <c r="A2345" s="13" t="s">
        <v>6668</v>
      </c>
      <c r="B2345" s="13" t="s">
        <v>6669</v>
      </c>
      <c r="C2345" s="13" t="s">
        <v>605</v>
      </c>
      <c r="D2345" s="13" t="s">
        <v>87</v>
      </c>
      <c r="E2345" s="13" t="s">
        <v>93</v>
      </c>
      <c r="F2345" s="13" t="s">
        <v>6670</v>
      </c>
      <c r="G2345" s="20" t="str">
        <f>HYPERLINK("https://semena-nn.ru/catalog/55/888000001653","Фото")</f>
        <v>Фото</v>
      </c>
      <c r="H2345" s="18">
        <v>54.6</v>
      </c>
      <c r="I2345" s="27"/>
      <c r="J2345" s="13">
        <f>H2345*I2345</f>
        <v>0</v>
      </c>
    </row>
    <row r="2346" spans="1:10" ht="12" customHeight="1">
      <c r="A2346" s="13" t="s">
        <v>6671</v>
      </c>
      <c r="B2346" s="13" t="s">
        <v>6672</v>
      </c>
      <c r="C2346" s="13" t="s">
        <v>605</v>
      </c>
      <c r="D2346" s="13" t="s">
        <v>87</v>
      </c>
      <c r="E2346" s="13" t="s">
        <v>93</v>
      </c>
      <c r="F2346" s="13" t="s">
        <v>6673</v>
      </c>
      <c r="G2346" s="20" t="str">
        <f>HYPERLINK("https://semena-nn.ru/catalog/55/888000001654","Фото")</f>
        <v>Фото</v>
      </c>
      <c r="H2346" s="18">
        <v>54.6</v>
      </c>
      <c r="I2346" s="27"/>
      <c r="J2346" s="13">
        <f>H2346*I2346</f>
        <v>0</v>
      </c>
    </row>
    <row r="2347" spans="1:10" ht="12" customHeight="1">
      <c r="A2347" s="13" t="s">
        <v>2002</v>
      </c>
      <c r="B2347" s="13" t="s">
        <v>2003</v>
      </c>
      <c r="C2347" s="13" t="s">
        <v>605</v>
      </c>
      <c r="D2347" s="13" t="s">
        <v>697</v>
      </c>
      <c r="E2347" s="13" t="s">
        <v>93</v>
      </c>
      <c r="F2347" s="13" t="s">
        <v>2004</v>
      </c>
      <c r="G2347" s="20" t="str">
        <f>HYPERLINK("https://semena-nn.ru/catalog/55/999000005753","Фото")</f>
        <v>Фото</v>
      </c>
      <c r="H2347" s="19">
        <v>21.15</v>
      </c>
      <c r="I2347" s="27"/>
      <c r="J2347" s="13">
        <f>H2347*I2347</f>
        <v>0</v>
      </c>
    </row>
    <row r="2348" spans="1:10" ht="12" customHeight="1">
      <c r="A2348" s="13" t="s">
        <v>2005</v>
      </c>
      <c r="B2348" s="13" t="s">
        <v>2006</v>
      </c>
      <c r="C2348" s="13" t="s">
        <v>605</v>
      </c>
      <c r="D2348" s="13" t="s">
        <v>697</v>
      </c>
      <c r="E2348" s="13" t="s">
        <v>93</v>
      </c>
      <c r="F2348" s="13" t="s">
        <v>2007</v>
      </c>
      <c r="G2348" s="20" t="str">
        <f>HYPERLINK("https://semena-nn.ru/catalog/55/999000019966","Фото")</f>
        <v>Фото</v>
      </c>
      <c r="H2348" s="18">
        <v>18.7</v>
      </c>
      <c r="I2348" s="27"/>
      <c r="J2348" s="13">
        <f>H2348*I2348</f>
        <v>0</v>
      </c>
    </row>
    <row r="2349" spans="1:10" ht="12" customHeight="1">
      <c r="A2349" s="13" t="s">
        <v>2008</v>
      </c>
      <c r="B2349" s="13" t="s">
        <v>2009</v>
      </c>
      <c r="C2349" s="13" t="s">
        <v>605</v>
      </c>
      <c r="D2349" s="13" t="s">
        <v>697</v>
      </c>
      <c r="E2349" s="13" t="s">
        <v>93</v>
      </c>
      <c r="F2349" s="13" t="s">
        <v>2010</v>
      </c>
      <c r="G2349" s="20" t="str">
        <f>HYPERLINK("http://semena-nn.ru/catalog/55/1122551","Фото")</f>
        <v>Фото</v>
      </c>
      <c r="H2349" s="18">
        <v>18.7</v>
      </c>
      <c r="I2349" s="27"/>
      <c r="J2349" s="13">
        <f>H2349*I2349</f>
        <v>0</v>
      </c>
    </row>
    <row r="2350" spans="1:10" ht="12" customHeight="1">
      <c r="A2350" s="13" t="s">
        <v>2011</v>
      </c>
      <c r="B2350" s="13" t="s">
        <v>2012</v>
      </c>
      <c r="C2350" s="13" t="s">
        <v>605</v>
      </c>
      <c r="D2350" s="13" t="s">
        <v>697</v>
      </c>
      <c r="E2350" s="13" t="s">
        <v>93</v>
      </c>
      <c r="F2350" s="13" t="s">
        <v>2013</v>
      </c>
      <c r="G2350" s="20" t="str">
        <f>HYPERLINK("http://semena-nn.ru/catalog/55/1285282","Фото")</f>
        <v>Фото</v>
      </c>
      <c r="H2350" s="18">
        <v>21.2</v>
      </c>
      <c r="I2350" s="27"/>
      <c r="J2350" s="13">
        <f>H2350*I2350</f>
        <v>0</v>
      </c>
    </row>
    <row r="2351" spans="1:10" ht="12" customHeight="1">
      <c r="A2351" s="13" t="s">
        <v>5625</v>
      </c>
      <c r="B2351" s="13" t="s">
        <v>5626</v>
      </c>
      <c r="C2351" s="13" t="s">
        <v>624</v>
      </c>
      <c r="D2351" s="13" t="s">
        <v>5136</v>
      </c>
      <c r="E2351" s="13" t="s">
        <v>93</v>
      </c>
      <c r="F2351" s="13" t="s">
        <v>5627</v>
      </c>
      <c r="G2351" s="20" t="str">
        <f>HYPERLINK("https://semena-nn.ru/catalog/57/888000000334","Фото")</f>
        <v>Фото</v>
      </c>
      <c r="H2351" s="15">
        <v>79</v>
      </c>
      <c r="I2351" s="27"/>
      <c r="J2351" s="13">
        <f>H2351*I2351</f>
        <v>0</v>
      </c>
    </row>
    <row r="2352" spans="1:10" ht="12" customHeight="1">
      <c r="A2352" s="13" t="s">
        <v>6674</v>
      </c>
      <c r="B2352" s="13" t="s">
        <v>6675</v>
      </c>
      <c r="C2352" s="13" t="s">
        <v>624</v>
      </c>
      <c r="D2352" s="13" t="s">
        <v>87</v>
      </c>
      <c r="E2352" s="13" t="s">
        <v>93</v>
      </c>
      <c r="F2352" s="13" t="s">
        <v>6676</v>
      </c>
      <c r="G2352" s="20" t="str">
        <f>HYPERLINK("https://semena-nn.ru/catalog/57/1115825","Фото")</f>
        <v>Фото</v>
      </c>
      <c r="H2352" s="15">
        <v>21</v>
      </c>
      <c r="I2352" s="27"/>
      <c r="J2352" s="13">
        <f>H2352*I2352</f>
        <v>0</v>
      </c>
    </row>
    <row r="2353" spans="1:10" ht="12" customHeight="1">
      <c r="A2353" s="13" t="s">
        <v>4399</v>
      </c>
      <c r="B2353" s="13" t="s">
        <v>4400</v>
      </c>
      <c r="C2353" s="13" t="s">
        <v>624</v>
      </c>
      <c r="D2353" s="13" t="s">
        <v>3475</v>
      </c>
      <c r="E2353" s="13" t="s">
        <v>93</v>
      </c>
      <c r="F2353" s="13" t="s">
        <v>4401</v>
      </c>
      <c r="G2353" s="20" t="str">
        <f>HYPERLINK("http://semena-nn.ru/catalog/57/1118547","Фото")</f>
        <v>Фото</v>
      </c>
      <c r="H2353" s="19">
        <v>95.55</v>
      </c>
      <c r="I2353" s="27"/>
      <c r="J2353" s="13">
        <f>H2353*I2353</f>
        <v>0</v>
      </c>
    </row>
    <row r="2354" spans="1:10" ht="12" customHeight="1">
      <c r="A2354" s="13" t="s">
        <v>4402</v>
      </c>
      <c r="B2354" s="13" t="s">
        <v>4403</v>
      </c>
      <c r="C2354" s="13" t="s">
        <v>624</v>
      </c>
      <c r="D2354" s="13" t="s">
        <v>3475</v>
      </c>
      <c r="E2354" s="13" t="s">
        <v>93</v>
      </c>
      <c r="F2354" s="13" t="s">
        <v>4404</v>
      </c>
      <c r="G2354" s="20" t="str">
        <f>HYPERLINK("https://semena-nn.ru/catalog/57/1118175","Фото")</f>
        <v>Фото</v>
      </c>
      <c r="H2354" s="19">
        <v>22.05</v>
      </c>
      <c r="I2354" s="27"/>
      <c r="J2354" s="13">
        <f>H2354*I2354</f>
        <v>0</v>
      </c>
    </row>
    <row r="2355" spans="1:10" ht="12" customHeight="1">
      <c r="A2355" s="13" t="s">
        <v>2014</v>
      </c>
      <c r="B2355" s="13" t="s">
        <v>2015</v>
      </c>
      <c r="C2355" s="13" t="s">
        <v>624</v>
      </c>
      <c r="D2355" s="13" t="s">
        <v>697</v>
      </c>
      <c r="E2355" s="13" t="s">
        <v>93</v>
      </c>
      <c r="F2355" s="13" t="s">
        <v>2016</v>
      </c>
      <c r="G2355" s="20" t="str">
        <f>HYPERLINK("http://semena-nn.ru/catalog/57/1307739","Фото")</f>
        <v>Фото</v>
      </c>
      <c r="H2355" s="18">
        <v>24.2</v>
      </c>
      <c r="I2355" s="27"/>
      <c r="J2355" s="13">
        <f>H2355*I2355</f>
        <v>0</v>
      </c>
    </row>
    <row r="2356" spans="1:10" ht="12" customHeight="1">
      <c r="A2356" s="13" t="s">
        <v>5628</v>
      </c>
      <c r="B2356" s="13" t="s">
        <v>5629</v>
      </c>
      <c r="C2356" s="13" t="s">
        <v>605</v>
      </c>
      <c r="D2356" s="13" t="s">
        <v>5136</v>
      </c>
      <c r="E2356" s="13" t="s">
        <v>93</v>
      </c>
      <c r="F2356" s="13" t="s">
        <v>5630</v>
      </c>
      <c r="G2356" s="20" t="str">
        <f>HYPERLINK("https://semena-nn.ru/catalog/55/888000007453","Фото")</f>
        <v>Фото</v>
      </c>
      <c r="H2356" s="15">
        <v>88</v>
      </c>
      <c r="I2356" s="27"/>
      <c r="J2356" s="13">
        <f>H2356*I2356</f>
        <v>0</v>
      </c>
    </row>
    <row r="2357" spans="1:10" ht="12" customHeight="1">
      <c r="A2357" s="13" t="s">
        <v>5631</v>
      </c>
      <c r="B2357" s="13" t="s">
        <v>5632</v>
      </c>
      <c r="C2357" s="13" t="s">
        <v>605</v>
      </c>
      <c r="D2357" s="13" t="s">
        <v>5136</v>
      </c>
      <c r="E2357" s="13" t="s">
        <v>93</v>
      </c>
      <c r="F2357" s="13" t="s">
        <v>5630</v>
      </c>
      <c r="G2357" s="20" t="str">
        <f>HYPERLINK("https://semena-nn.ru/catalog/55/888000007454","Фото")</f>
        <v>Фото</v>
      </c>
      <c r="H2357" s="15">
        <v>88</v>
      </c>
      <c r="I2357" s="27"/>
      <c r="J2357" s="13">
        <f>H2357*I2357</f>
        <v>0</v>
      </c>
    </row>
    <row r="2358" spans="1:10" ht="12" customHeight="1">
      <c r="A2358" s="13" t="s">
        <v>5633</v>
      </c>
      <c r="B2358" s="13" t="s">
        <v>5634</v>
      </c>
      <c r="C2358" s="13" t="s">
        <v>605</v>
      </c>
      <c r="D2358" s="13" t="s">
        <v>5136</v>
      </c>
      <c r="E2358" s="13" t="s">
        <v>93</v>
      </c>
      <c r="F2358" s="13" t="s">
        <v>5630</v>
      </c>
      <c r="G2358" s="20" t="str">
        <f>HYPERLINK("https://semena-nn.ru/catalog/55/888000007455","Фото")</f>
        <v>Фото</v>
      </c>
      <c r="H2358" s="15">
        <v>88</v>
      </c>
      <c r="I2358" s="27"/>
      <c r="J2358" s="13">
        <f>H2358*I2358</f>
        <v>0</v>
      </c>
    </row>
    <row r="2359" spans="1:10" ht="12" customHeight="1">
      <c r="A2359" s="13" t="s">
        <v>2017</v>
      </c>
      <c r="B2359" s="13" t="s">
        <v>2018</v>
      </c>
      <c r="C2359" s="13" t="s">
        <v>605</v>
      </c>
      <c r="D2359" s="13" t="s">
        <v>697</v>
      </c>
      <c r="E2359" s="13" t="s">
        <v>93</v>
      </c>
      <c r="F2359" s="13" t="s">
        <v>2019</v>
      </c>
      <c r="G2359" s="20" t="str">
        <f>HYPERLINK("https://semena-nn.ru/catalog/55/1116632","Фото")</f>
        <v>Фото</v>
      </c>
      <c r="H2359" s="18">
        <v>17.8</v>
      </c>
      <c r="I2359" s="27"/>
      <c r="J2359" s="13">
        <f>H2359*I2359</f>
        <v>0</v>
      </c>
    </row>
    <row r="2360" spans="1:10" ht="12" customHeight="1">
      <c r="A2360" s="13" t="s">
        <v>607</v>
      </c>
      <c r="B2360" s="13" t="s">
        <v>608</v>
      </c>
      <c r="C2360" s="13" t="s">
        <v>605</v>
      </c>
      <c r="D2360" s="13" t="s">
        <v>28</v>
      </c>
      <c r="E2360" s="13" t="s">
        <v>93</v>
      </c>
      <c r="F2360" s="13" t="s">
        <v>609</v>
      </c>
      <c r="G2360" s="20" t="str">
        <f>HYPERLINK("https://semena-nn.ru/catalog/55/999000011236","Фото")</f>
        <v>Фото</v>
      </c>
      <c r="H2360" s="19">
        <v>120.65</v>
      </c>
      <c r="I2360" s="27"/>
      <c r="J2360" s="13">
        <f>H2360*I2360</f>
        <v>0</v>
      </c>
    </row>
    <row r="2361" spans="1:10" ht="12" customHeight="1">
      <c r="A2361" s="13" t="s">
        <v>610</v>
      </c>
      <c r="B2361" s="13" t="s">
        <v>611</v>
      </c>
      <c r="C2361" s="13" t="s">
        <v>605</v>
      </c>
      <c r="D2361" s="13" t="s">
        <v>28</v>
      </c>
      <c r="E2361" s="13" t="s">
        <v>93</v>
      </c>
      <c r="F2361" s="13" t="s">
        <v>612</v>
      </c>
      <c r="G2361" s="20" t="str">
        <f>HYPERLINK("https://semena-nn.ru/catalog/55/999000011237","Фото")</f>
        <v>Фото</v>
      </c>
      <c r="H2361" s="19">
        <v>120.65</v>
      </c>
      <c r="I2361" s="27"/>
      <c r="J2361" s="13">
        <f>H2361*I2361</f>
        <v>0</v>
      </c>
    </row>
    <row r="2362" spans="1:10" ht="12" customHeight="1">
      <c r="A2362" s="13" t="s">
        <v>613</v>
      </c>
      <c r="B2362" s="13" t="s">
        <v>614</v>
      </c>
      <c r="C2362" s="13" t="s">
        <v>605</v>
      </c>
      <c r="D2362" s="13" t="s">
        <v>28</v>
      </c>
      <c r="E2362" s="13" t="s">
        <v>93</v>
      </c>
      <c r="F2362" s="13" t="s">
        <v>615</v>
      </c>
      <c r="G2362" s="20" t="str">
        <f>HYPERLINK("https://semena-nn.ru/catalog/55/999000011238","Фото")</f>
        <v>Фото</v>
      </c>
      <c r="H2362" s="19">
        <v>120.65</v>
      </c>
      <c r="I2362" s="27"/>
      <c r="J2362" s="13">
        <f>H2362*I2362</f>
        <v>0</v>
      </c>
    </row>
    <row r="2363" spans="1:10" ht="12" customHeight="1">
      <c r="A2363" s="13" t="s">
        <v>2020</v>
      </c>
      <c r="B2363" s="13" t="s">
        <v>2021</v>
      </c>
      <c r="C2363" s="13" t="s">
        <v>605</v>
      </c>
      <c r="D2363" s="13" t="s">
        <v>697</v>
      </c>
      <c r="E2363" s="13" t="s">
        <v>93</v>
      </c>
      <c r="F2363" s="13" t="s">
        <v>2022</v>
      </c>
      <c r="G2363" s="20" t="str">
        <f>HYPERLINK("http://semena-nn.ru/catalog/55/999000006694","Фото")</f>
        <v>Фото</v>
      </c>
      <c r="H2363" s="18">
        <v>18.7</v>
      </c>
      <c r="I2363" s="27"/>
      <c r="J2363" s="13">
        <f>H2363*I2363</f>
        <v>0</v>
      </c>
    </row>
    <row r="2364" spans="1:10" ht="12" customHeight="1">
      <c r="A2364" s="13" t="s">
        <v>2023</v>
      </c>
      <c r="B2364" s="13" t="s">
        <v>2024</v>
      </c>
      <c r="C2364" s="13" t="s">
        <v>605</v>
      </c>
      <c r="D2364" s="13" t="s">
        <v>697</v>
      </c>
      <c r="E2364" s="13" t="s">
        <v>93</v>
      </c>
      <c r="F2364" s="13" t="s">
        <v>2025</v>
      </c>
      <c r="G2364" s="20" t="str">
        <f>HYPERLINK("https://semena-nn.ru/catalog/55/999000009238","Фото")</f>
        <v>Фото</v>
      </c>
      <c r="H2364" s="19">
        <v>33.65</v>
      </c>
      <c r="I2364" s="27"/>
      <c r="J2364" s="13">
        <f>H2364*I2364</f>
        <v>0</v>
      </c>
    </row>
    <row r="2365" spans="1:10" ht="12" customHeight="1">
      <c r="A2365" s="13" t="s">
        <v>6336</v>
      </c>
      <c r="B2365" s="13" t="s">
        <v>6337</v>
      </c>
      <c r="C2365" s="13" t="s">
        <v>605</v>
      </c>
      <c r="D2365" s="13" t="s">
        <v>6295</v>
      </c>
      <c r="E2365" s="13" t="s">
        <v>93</v>
      </c>
      <c r="F2365" s="13" t="s">
        <v>6338</v>
      </c>
      <c r="G2365" s="20" t="str">
        <f>HYPERLINK("https://semena-nn.ru/catalog/55/999000020530","Фото")</f>
        <v>Фото</v>
      </c>
      <c r="H2365" s="15">
        <v>105</v>
      </c>
      <c r="I2365" s="27"/>
      <c r="J2365" s="13">
        <f>H2365*I2365</f>
        <v>0</v>
      </c>
    </row>
    <row r="2366" spans="1:10" ht="12" customHeight="1">
      <c r="A2366" s="13" t="s">
        <v>2026</v>
      </c>
      <c r="B2366" s="13" t="s">
        <v>2027</v>
      </c>
      <c r="C2366" s="13" t="s">
        <v>605</v>
      </c>
      <c r="D2366" s="13" t="s">
        <v>697</v>
      </c>
      <c r="E2366" s="13" t="s">
        <v>93</v>
      </c>
      <c r="F2366" s="13" t="s">
        <v>2028</v>
      </c>
      <c r="G2366" s="20" t="str">
        <f>HYPERLINK("https://semena-nn.ru/catalog/55/999000005757","Фото")</f>
        <v>Фото</v>
      </c>
      <c r="H2366" s="18">
        <v>20.2</v>
      </c>
      <c r="I2366" s="27"/>
      <c r="J2366" s="13">
        <f>H2366*I2366</f>
        <v>0</v>
      </c>
    </row>
    <row r="2367" spans="1:10" ht="12" customHeight="1">
      <c r="A2367" s="13" t="s">
        <v>2029</v>
      </c>
      <c r="B2367" s="13" t="s">
        <v>2030</v>
      </c>
      <c r="C2367" s="13" t="s">
        <v>605</v>
      </c>
      <c r="D2367" s="13" t="s">
        <v>697</v>
      </c>
      <c r="E2367" s="13" t="s">
        <v>93</v>
      </c>
      <c r="F2367" s="13" t="s">
        <v>2031</v>
      </c>
      <c r="G2367" s="20" t="str">
        <f>HYPERLINK("https://semena-nn.ru/catalog/55/999000020237","Фото")</f>
        <v>Фото</v>
      </c>
      <c r="H2367" s="18">
        <v>55.6</v>
      </c>
      <c r="I2367" s="27"/>
      <c r="J2367" s="13">
        <f>H2367*I2367</f>
        <v>0</v>
      </c>
    </row>
    <row r="2368" spans="1:10" ht="12" customHeight="1">
      <c r="A2368" s="13" t="s">
        <v>2032</v>
      </c>
      <c r="B2368" s="13" t="s">
        <v>2033</v>
      </c>
      <c r="C2368" s="13" t="s">
        <v>605</v>
      </c>
      <c r="D2368" s="13" t="s">
        <v>697</v>
      </c>
      <c r="E2368" s="13" t="s">
        <v>93</v>
      </c>
      <c r="F2368" s="13" t="s">
        <v>2034</v>
      </c>
      <c r="G2368" s="20" t="str">
        <f>HYPERLINK("http://semena-nn.ru/catalog/55/113063","Фото")</f>
        <v>Фото</v>
      </c>
      <c r="H2368" s="18">
        <v>21.4</v>
      </c>
      <c r="I2368" s="27"/>
      <c r="J2368" s="13">
        <f>H2368*I2368</f>
        <v>0</v>
      </c>
    </row>
    <row r="2369" spans="1:10" ht="12" customHeight="1">
      <c r="A2369" s="13" t="s">
        <v>2035</v>
      </c>
      <c r="B2369" s="13" t="s">
        <v>2036</v>
      </c>
      <c r="C2369" s="13" t="s">
        <v>605</v>
      </c>
      <c r="D2369" s="13" t="s">
        <v>697</v>
      </c>
      <c r="E2369" s="13" t="s">
        <v>93</v>
      </c>
      <c r="F2369" s="13" t="s">
        <v>2037</v>
      </c>
      <c r="G2369" s="20" t="str">
        <f>HYPERLINK("https://semena-nn.ru/catalog/55/999000011035","Фото")</f>
        <v>Фото</v>
      </c>
      <c r="H2369" s="19">
        <v>29.75</v>
      </c>
      <c r="I2369" s="27"/>
      <c r="J2369" s="13">
        <f>H2369*I2369</f>
        <v>0</v>
      </c>
    </row>
    <row r="2370" spans="1:10" ht="12" customHeight="1">
      <c r="A2370" s="13" t="s">
        <v>4405</v>
      </c>
      <c r="B2370" s="13" t="s">
        <v>4406</v>
      </c>
      <c r="C2370" s="13" t="s">
        <v>605</v>
      </c>
      <c r="D2370" s="13" t="s">
        <v>3475</v>
      </c>
      <c r="E2370" s="13" t="s">
        <v>93</v>
      </c>
      <c r="F2370" s="13" t="s">
        <v>4407</v>
      </c>
      <c r="G2370" s="20" t="str">
        <f>HYPERLINK("http://semena-nn.ru/catalog/55/111367","Фото")</f>
        <v>Фото</v>
      </c>
      <c r="H2370" s="18">
        <v>18.7</v>
      </c>
      <c r="I2370" s="27"/>
      <c r="J2370" s="13">
        <f>H2370*I2370</f>
        <v>0</v>
      </c>
    </row>
    <row r="2371" spans="1:10" ht="12" customHeight="1">
      <c r="A2371" s="13" t="s">
        <v>2038</v>
      </c>
      <c r="B2371" s="13" t="s">
        <v>2039</v>
      </c>
      <c r="C2371" s="13" t="s">
        <v>605</v>
      </c>
      <c r="D2371" s="13" t="s">
        <v>697</v>
      </c>
      <c r="E2371" s="13" t="s">
        <v>93</v>
      </c>
      <c r="F2371" s="13" t="s">
        <v>2040</v>
      </c>
      <c r="G2371" s="20" t="str">
        <f>HYPERLINK("https://semena-nn.ru/catalog/55/1121047","Фото")</f>
        <v>Фото</v>
      </c>
      <c r="H2371" s="18">
        <v>19.5</v>
      </c>
      <c r="I2371" s="27"/>
      <c r="J2371" s="13">
        <f>H2371*I2371</f>
        <v>0</v>
      </c>
    </row>
    <row r="2372" spans="1:10" ht="12" customHeight="1">
      <c r="A2372" s="13" t="s">
        <v>2041</v>
      </c>
      <c r="B2372" s="13" t="s">
        <v>2042</v>
      </c>
      <c r="C2372" s="13" t="s">
        <v>605</v>
      </c>
      <c r="D2372" s="13" t="s">
        <v>697</v>
      </c>
      <c r="E2372" s="13" t="s">
        <v>93</v>
      </c>
      <c r="F2372" s="13" t="s">
        <v>2043</v>
      </c>
      <c r="G2372" s="20" t="str">
        <f>HYPERLINK("https://semena-nn.ru/catalog/55/999000011851","Фото")</f>
        <v>Фото</v>
      </c>
      <c r="H2372" s="18">
        <v>21.2</v>
      </c>
      <c r="I2372" s="27"/>
      <c r="J2372" s="13">
        <f>H2372*I2372</f>
        <v>0</v>
      </c>
    </row>
    <row r="2373" spans="1:10" ht="12" customHeight="1">
      <c r="A2373" s="13" t="s">
        <v>2044</v>
      </c>
      <c r="B2373" s="13" t="s">
        <v>2045</v>
      </c>
      <c r="C2373" s="13" t="s">
        <v>605</v>
      </c>
      <c r="D2373" s="13" t="s">
        <v>697</v>
      </c>
      <c r="E2373" s="13" t="s">
        <v>93</v>
      </c>
      <c r="F2373" s="13" t="s">
        <v>2046</v>
      </c>
      <c r="G2373" s="20" t="str">
        <f>HYPERLINK("http://semena-nn.ru/catalog/55/95412","Фото")</f>
        <v>Фото</v>
      </c>
      <c r="H2373" s="18">
        <v>21.2</v>
      </c>
      <c r="I2373" s="27"/>
      <c r="J2373" s="13">
        <f>H2373*I2373</f>
        <v>0</v>
      </c>
    </row>
    <row r="2374" spans="1:10" ht="12" customHeight="1">
      <c r="A2374" s="13" t="s">
        <v>2047</v>
      </c>
      <c r="B2374" s="13" t="s">
        <v>2048</v>
      </c>
      <c r="C2374" s="13" t="s">
        <v>605</v>
      </c>
      <c r="D2374" s="13" t="s">
        <v>697</v>
      </c>
      <c r="E2374" s="13" t="s">
        <v>93</v>
      </c>
      <c r="F2374" s="13" t="s">
        <v>2049</v>
      </c>
      <c r="G2374" s="20" t="str">
        <f>HYPERLINK("https://semena-nn.ru/catalog/55/999000013130","Фото")</f>
        <v>Фото</v>
      </c>
      <c r="H2374" s="18">
        <v>27.3</v>
      </c>
      <c r="I2374" s="27"/>
      <c r="J2374" s="13">
        <f>H2374*I2374</f>
        <v>0</v>
      </c>
    </row>
    <row r="2375" spans="1:10" ht="12" customHeight="1">
      <c r="A2375" s="13" t="s">
        <v>6677</v>
      </c>
      <c r="B2375" s="13" t="s">
        <v>6678</v>
      </c>
      <c r="C2375" s="13" t="s">
        <v>605</v>
      </c>
      <c r="D2375" s="13" t="s">
        <v>87</v>
      </c>
      <c r="E2375" s="13" t="s">
        <v>93</v>
      </c>
      <c r="F2375" s="13" t="s">
        <v>6679</v>
      </c>
      <c r="G2375" s="20" t="str">
        <f>HYPERLINK("http://semena-nn.ru/catalog/55/100396","Фото")</f>
        <v>Фото</v>
      </c>
      <c r="H2375" s="18">
        <v>19.5</v>
      </c>
      <c r="I2375" s="27"/>
      <c r="J2375" s="13">
        <f>H2375*I2375</f>
        <v>0</v>
      </c>
    </row>
    <row r="2376" spans="1:10" ht="12" customHeight="1">
      <c r="A2376" s="13" t="s">
        <v>4408</v>
      </c>
      <c r="B2376" s="13" t="s">
        <v>4409</v>
      </c>
      <c r="C2376" s="13" t="s">
        <v>605</v>
      </c>
      <c r="D2376" s="13" t="s">
        <v>3475</v>
      </c>
      <c r="E2376" s="13" t="s">
        <v>93</v>
      </c>
      <c r="F2376" s="13" t="s">
        <v>4410</v>
      </c>
      <c r="G2376" s="20" t="str">
        <f>HYPERLINK("https://semena-nn.ru/catalog/55/999000012491","Фото")</f>
        <v>Фото</v>
      </c>
      <c r="H2376" s="19">
        <v>17.350000000000001</v>
      </c>
      <c r="I2376" s="27"/>
      <c r="J2376" s="13">
        <f>H2376*I2376</f>
        <v>0</v>
      </c>
    </row>
    <row r="2377" spans="1:10" ht="12" customHeight="1">
      <c r="A2377" s="13" t="s">
        <v>2050</v>
      </c>
      <c r="B2377" s="13" t="s">
        <v>2051</v>
      </c>
      <c r="C2377" s="13" t="s">
        <v>605</v>
      </c>
      <c r="D2377" s="13" t="s">
        <v>697</v>
      </c>
      <c r="E2377" s="13" t="s">
        <v>93</v>
      </c>
      <c r="F2377" s="13" t="s">
        <v>2052</v>
      </c>
      <c r="G2377" s="20" t="str">
        <f>HYPERLINK("https://semena-nn.ru/catalog/55/1116601","Фото")</f>
        <v>Фото</v>
      </c>
      <c r="H2377" s="18">
        <v>18.7</v>
      </c>
      <c r="I2377" s="27"/>
      <c r="J2377" s="13">
        <f>H2377*I2377</f>
        <v>0</v>
      </c>
    </row>
    <row r="2378" spans="1:10" ht="12" customHeight="1">
      <c r="A2378" s="13" t="s">
        <v>616</v>
      </c>
      <c r="B2378" s="13" t="s">
        <v>617</v>
      </c>
      <c r="C2378" s="13" t="s">
        <v>605</v>
      </c>
      <c r="D2378" s="13" t="s">
        <v>28</v>
      </c>
      <c r="E2378" s="13" t="s">
        <v>93</v>
      </c>
      <c r="F2378" s="13" t="s">
        <v>618</v>
      </c>
      <c r="G2378" s="20" t="str">
        <f>HYPERLINK("https://semena-nn.ru/catalog/55/999000011239","Фото")</f>
        <v>Фото</v>
      </c>
      <c r="H2378" s="19">
        <v>84.53</v>
      </c>
      <c r="I2378" s="27"/>
      <c r="J2378" s="13">
        <f>H2378*I2378</f>
        <v>0</v>
      </c>
    </row>
    <row r="2379" spans="1:10" ht="12" customHeight="1">
      <c r="A2379" s="13" t="s">
        <v>619</v>
      </c>
      <c r="B2379" s="13" t="s">
        <v>620</v>
      </c>
      <c r="C2379" s="13" t="s">
        <v>605</v>
      </c>
      <c r="D2379" s="13" t="s">
        <v>28</v>
      </c>
      <c r="E2379" s="13" t="s">
        <v>93</v>
      </c>
      <c r="F2379" s="13" t="s">
        <v>621</v>
      </c>
      <c r="G2379" s="20" t="str">
        <f>HYPERLINK("https://semena-nn.ru/catalog/55/999000011240","Фото")</f>
        <v>Фото</v>
      </c>
      <c r="H2379" s="19">
        <v>84.53</v>
      </c>
      <c r="I2379" s="27"/>
      <c r="J2379" s="13">
        <f>H2379*I2379</f>
        <v>0</v>
      </c>
    </row>
    <row r="2380" spans="1:10" ht="12" customHeight="1">
      <c r="A2380" s="13" t="s">
        <v>2053</v>
      </c>
      <c r="B2380" s="13" t="s">
        <v>2054</v>
      </c>
      <c r="C2380" s="13" t="s">
        <v>605</v>
      </c>
      <c r="D2380" s="13" t="s">
        <v>697</v>
      </c>
      <c r="E2380" s="13" t="s">
        <v>93</v>
      </c>
      <c r="F2380" s="13" t="s">
        <v>2055</v>
      </c>
      <c r="G2380" s="20" t="str">
        <f>HYPERLINK("https://semena-nn.ru/catalog/55/888000000447","Фото")</f>
        <v>Фото</v>
      </c>
      <c r="H2380" s="18">
        <v>31.9</v>
      </c>
      <c r="I2380" s="27"/>
      <c r="J2380" s="13">
        <f>H2380*I2380</f>
        <v>0</v>
      </c>
    </row>
    <row r="2381" spans="1:10" ht="12" customHeight="1">
      <c r="A2381" s="13" t="s">
        <v>6680</v>
      </c>
      <c r="B2381" s="13" t="s">
        <v>6681</v>
      </c>
      <c r="C2381" s="13" t="s">
        <v>605</v>
      </c>
      <c r="D2381" s="13" t="s">
        <v>87</v>
      </c>
      <c r="E2381" s="13" t="s">
        <v>93</v>
      </c>
      <c r="F2381" s="13" t="s">
        <v>6682</v>
      </c>
      <c r="G2381" s="20" t="str">
        <f>HYPERLINK("http://semena-nn.ru/catalog/55/1307238","Фото")</f>
        <v>Фото</v>
      </c>
      <c r="H2381" s="18">
        <v>19.5</v>
      </c>
      <c r="I2381" s="27"/>
      <c r="J2381" s="13">
        <f>H2381*I2381</f>
        <v>0</v>
      </c>
    </row>
    <row r="2382" spans="1:10" ht="12" customHeight="1">
      <c r="A2382" s="13" t="s">
        <v>4411</v>
      </c>
      <c r="B2382" s="13" t="s">
        <v>4412</v>
      </c>
      <c r="C2382" s="13" t="s">
        <v>605</v>
      </c>
      <c r="D2382" s="13" t="s">
        <v>3475</v>
      </c>
      <c r="E2382" s="13" t="s">
        <v>93</v>
      </c>
      <c r="F2382" s="13" t="s">
        <v>4413</v>
      </c>
      <c r="G2382" s="20" t="str">
        <f>HYPERLINK("http://semena-nn.ru/catalog/55/109902","Фото")</f>
        <v>Фото</v>
      </c>
      <c r="H2382" s="18">
        <v>18.7</v>
      </c>
      <c r="I2382" s="27"/>
      <c r="J2382" s="13">
        <f>H2382*I2382</f>
        <v>0</v>
      </c>
    </row>
    <row r="2383" spans="1:10" ht="12" customHeight="1">
      <c r="A2383" s="13" t="s">
        <v>4414</v>
      </c>
      <c r="B2383" s="13" t="s">
        <v>4415</v>
      </c>
      <c r="C2383" s="13" t="s">
        <v>605</v>
      </c>
      <c r="D2383" s="13" t="s">
        <v>3475</v>
      </c>
      <c r="E2383" s="13" t="s">
        <v>93</v>
      </c>
      <c r="F2383" s="13" t="s">
        <v>4416</v>
      </c>
      <c r="G2383" s="20" t="str">
        <f>HYPERLINK("https://semena-nn.ru/catalog/55/1125284","Фото")</f>
        <v>Фото</v>
      </c>
      <c r="H2383" s="19">
        <v>17.350000000000001</v>
      </c>
      <c r="I2383" s="27"/>
      <c r="J2383" s="13">
        <f>H2383*I2383</f>
        <v>0</v>
      </c>
    </row>
    <row r="2384" spans="1:10" ht="12" customHeight="1">
      <c r="A2384" s="13" t="s">
        <v>4417</v>
      </c>
      <c r="B2384" s="13" t="s">
        <v>4418</v>
      </c>
      <c r="C2384" s="13" t="s">
        <v>605</v>
      </c>
      <c r="D2384" s="13" t="s">
        <v>3475</v>
      </c>
      <c r="E2384" s="13" t="s">
        <v>93</v>
      </c>
      <c r="F2384" s="13" t="s">
        <v>4419</v>
      </c>
      <c r="G2384" s="20" t="str">
        <f>HYPERLINK("https://semena-nn.ru/catalog/55/1284019","Фото")</f>
        <v>Фото</v>
      </c>
      <c r="H2384" s="19">
        <v>17.350000000000001</v>
      </c>
      <c r="I2384" s="27"/>
      <c r="J2384" s="13">
        <f>H2384*I2384</f>
        <v>0</v>
      </c>
    </row>
    <row r="2385" spans="1:10" ht="12" customHeight="1">
      <c r="A2385" s="13" t="s">
        <v>2056</v>
      </c>
      <c r="B2385" s="13" t="s">
        <v>2057</v>
      </c>
      <c r="C2385" s="13" t="s">
        <v>605</v>
      </c>
      <c r="D2385" s="13" t="s">
        <v>697</v>
      </c>
      <c r="E2385" s="13" t="s">
        <v>93</v>
      </c>
      <c r="F2385" s="13" t="s">
        <v>2058</v>
      </c>
      <c r="G2385" s="20" t="str">
        <f>HYPERLINK("https://semena-nn.ru/catalog/55/999000011039","Фото")</f>
        <v>Фото</v>
      </c>
      <c r="H2385" s="18">
        <v>20.3</v>
      </c>
      <c r="I2385" s="27"/>
      <c r="J2385" s="13">
        <f>H2385*I2385</f>
        <v>0</v>
      </c>
    </row>
    <row r="2386" spans="1:10" ht="12" customHeight="1">
      <c r="A2386" s="13" t="s">
        <v>2059</v>
      </c>
      <c r="B2386" s="13" t="s">
        <v>2060</v>
      </c>
      <c r="C2386" s="13" t="s">
        <v>605</v>
      </c>
      <c r="D2386" s="13" t="s">
        <v>697</v>
      </c>
      <c r="E2386" s="13" t="s">
        <v>93</v>
      </c>
      <c r="F2386" s="13" t="s">
        <v>2061</v>
      </c>
      <c r="G2386" s="20" t="str">
        <f>HYPERLINK("https://semena-nn.ru/catalog/55/999000011040","Фото")</f>
        <v>Фото</v>
      </c>
      <c r="H2386" s="19">
        <v>40.950000000000003</v>
      </c>
      <c r="I2386" s="27"/>
      <c r="J2386" s="13">
        <f>H2386*I2386</f>
        <v>0</v>
      </c>
    </row>
    <row r="2387" spans="1:10" ht="12" customHeight="1">
      <c r="A2387" s="13" t="s">
        <v>2062</v>
      </c>
      <c r="B2387" s="13" t="s">
        <v>2063</v>
      </c>
      <c r="C2387" s="13" t="s">
        <v>605</v>
      </c>
      <c r="D2387" s="13" t="s">
        <v>697</v>
      </c>
      <c r="E2387" s="13" t="s">
        <v>93</v>
      </c>
      <c r="F2387" s="13" t="s">
        <v>2061</v>
      </c>
      <c r="G2387" s="20" t="str">
        <f>HYPERLINK("https://semena-nn.ru/catalog/55/999000011041","Фото")</f>
        <v>Фото</v>
      </c>
      <c r="H2387" s="19">
        <v>40.950000000000003</v>
      </c>
      <c r="I2387" s="27"/>
      <c r="J2387" s="13">
        <f>H2387*I2387</f>
        <v>0</v>
      </c>
    </row>
    <row r="2388" spans="1:10" ht="12" customHeight="1">
      <c r="A2388" s="13" t="s">
        <v>5977</v>
      </c>
      <c r="B2388" s="13" t="s">
        <v>5978</v>
      </c>
      <c r="C2388" s="13" t="s">
        <v>605</v>
      </c>
      <c r="D2388" s="13" t="s">
        <v>5834</v>
      </c>
      <c r="E2388" s="13" t="s">
        <v>93</v>
      </c>
      <c r="F2388" s="13" t="s">
        <v>5979</v>
      </c>
      <c r="G2388" s="20" t="str">
        <f>HYPERLINK("https://semena-nn.ru/catalog/55/888000001589","Фото")</f>
        <v>Фото</v>
      </c>
      <c r="H2388" s="18">
        <v>37.799999999999997</v>
      </c>
      <c r="I2388" s="27"/>
      <c r="J2388" s="13">
        <f>H2388*I2388</f>
        <v>0</v>
      </c>
    </row>
    <row r="2389" spans="1:10" ht="12" customHeight="1">
      <c r="A2389" s="13" t="s">
        <v>4420</v>
      </c>
      <c r="B2389" s="13" t="s">
        <v>4421</v>
      </c>
      <c r="C2389" s="13" t="s">
        <v>605</v>
      </c>
      <c r="D2389" s="13" t="s">
        <v>3475</v>
      </c>
      <c r="E2389" s="13" t="s">
        <v>93</v>
      </c>
      <c r="F2389" s="13" t="s">
        <v>4422</v>
      </c>
      <c r="G2389" s="20" t="str">
        <f>HYPERLINK("https://semena-nn.ru/catalog/55/1306509","Фото")</f>
        <v>Фото</v>
      </c>
      <c r="H2389" s="19">
        <v>17.350000000000001</v>
      </c>
      <c r="I2389" s="27"/>
      <c r="J2389" s="13">
        <f>H2389*I2389</f>
        <v>0</v>
      </c>
    </row>
    <row r="2390" spans="1:10" ht="12" customHeight="1">
      <c r="A2390" s="13" t="s">
        <v>4423</v>
      </c>
      <c r="B2390" s="13" t="s">
        <v>4424</v>
      </c>
      <c r="C2390" s="13" t="s">
        <v>605</v>
      </c>
      <c r="D2390" s="13" t="s">
        <v>3475</v>
      </c>
      <c r="E2390" s="13" t="s">
        <v>93</v>
      </c>
      <c r="F2390" s="13" t="s">
        <v>4425</v>
      </c>
      <c r="G2390" s="20" t="str">
        <f>HYPERLINK("https://semena-nn.ru/catalog/55/1315626","Фото")</f>
        <v>Фото</v>
      </c>
      <c r="H2390" s="18">
        <v>36.4</v>
      </c>
      <c r="I2390" s="27"/>
      <c r="J2390" s="13">
        <f>H2390*I2390</f>
        <v>0</v>
      </c>
    </row>
    <row r="2391" spans="1:10" ht="12" customHeight="1">
      <c r="A2391" s="13" t="s">
        <v>2064</v>
      </c>
      <c r="B2391" s="13" t="s">
        <v>2065</v>
      </c>
      <c r="C2391" s="13" t="s">
        <v>605</v>
      </c>
      <c r="D2391" s="13" t="s">
        <v>697</v>
      </c>
      <c r="E2391" s="13" t="s">
        <v>93</v>
      </c>
      <c r="F2391" s="13" t="s">
        <v>2066</v>
      </c>
      <c r="G2391" s="20" t="str">
        <f>HYPERLINK("https://semena-nn.ru/catalog/55/999000020238","Фото")</f>
        <v>Фото</v>
      </c>
      <c r="H2391" s="18">
        <v>18.7</v>
      </c>
      <c r="I2391" s="27"/>
      <c r="J2391" s="13">
        <f>H2391*I2391</f>
        <v>0</v>
      </c>
    </row>
    <row r="2392" spans="1:10" ht="12" customHeight="1">
      <c r="A2392" s="13" t="s">
        <v>7128</v>
      </c>
      <c r="B2392" s="13" t="s">
        <v>7129</v>
      </c>
      <c r="C2392" s="13" t="s">
        <v>605</v>
      </c>
      <c r="D2392" s="13" t="s">
        <v>6927</v>
      </c>
      <c r="E2392" s="13" t="s">
        <v>93</v>
      </c>
      <c r="F2392" s="13" t="s">
        <v>7130</v>
      </c>
      <c r="G2392" s="20" t="str">
        <f>HYPERLINK("https://semena-nn.ru/catalog/55/999000008209","Фото")</f>
        <v>Фото</v>
      </c>
      <c r="H2392" s="18">
        <v>26.4</v>
      </c>
      <c r="I2392" s="27"/>
      <c r="J2392" s="13">
        <f>H2392*I2392</f>
        <v>0</v>
      </c>
    </row>
    <row r="2393" spans="1:10" ht="12" customHeight="1">
      <c r="A2393" s="13" t="s">
        <v>2067</v>
      </c>
      <c r="B2393" s="13" t="s">
        <v>2068</v>
      </c>
      <c r="C2393" s="13" t="s">
        <v>605</v>
      </c>
      <c r="D2393" s="13" t="s">
        <v>697</v>
      </c>
      <c r="E2393" s="13" t="s">
        <v>93</v>
      </c>
      <c r="F2393" s="13" t="s">
        <v>2069</v>
      </c>
      <c r="G2393" s="20" t="str">
        <f>HYPERLINK("https://semena-nn.ru/catalog/55/1125729","Фото")</f>
        <v>Фото</v>
      </c>
      <c r="H2393" s="18">
        <v>22.3</v>
      </c>
      <c r="I2393" s="27"/>
      <c r="J2393" s="13">
        <f>H2393*I2393</f>
        <v>0</v>
      </c>
    </row>
    <row r="2394" spans="1:10" ht="12" customHeight="1">
      <c r="A2394" s="13" t="s">
        <v>2070</v>
      </c>
      <c r="B2394" s="13" t="s">
        <v>2071</v>
      </c>
      <c r="C2394" s="13" t="s">
        <v>605</v>
      </c>
      <c r="D2394" s="13" t="s">
        <v>697</v>
      </c>
      <c r="E2394" s="13" t="s">
        <v>93</v>
      </c>
      <c r="F2394" s="13" t="s">
        <v>2072</v>
      </c>
      <c r="G2394" s="20" t="str">
        <f>HYPERLINK("https://semena-nn.ru/catalog/55/999000009240","Фото")</f>
        <v>Фото</v>
      </c>
      <c r="H2394" s="19">
        <v>35.549999999999997</v>
      </c>
      <c r="I2394" s="27"/>
      <c r="J2394" s="13">
        <f>H2394*I2394</f>
        <v>0</v>
      </c>
    </row>
    <row r="2395" spans="1:10" ht="12" customHeight="1">
      <c r="A2395" s="13" t="s">
        <v>6683</v>
      </c>
      <c r="B2395" s="13" t="s">
        <v>6684</v>
      </c>
      <c r="C2395" s="13" t="s">
        <v>605</v>
      </c>
      <c r="D2395" s="13" t="s">
        <v>87</v>
      </c>
      <c r="E2395" s="13" t="s">
        <v>93</v>
      </c>
      <c r="F2395" s="13" t="s">
        <v>6685</v>
      </c>
      <c r="G2395" s="20" t="str">
        <f>HYPERLINK("https://semena-nn.ru/catalog/55/1303236","Фото")</f>
        <v>Фото</v>
      </c>
      <c r="H2395" s="18">
        <v>27.3</v>
      </c>
      <c r="I2395" s="27"/>
      <c r="J2395" s="13">
        <f>H2395*I2395</f>
        <v>0</v>
      </c>
    </row>
    <row r="2396" spans="1:10" ht="12" customHeight="1">
      <c r="A2396" s="13" t="s">
        <v>2073</v>
      </c>
      <c r="B2396" s="13" t="s">
        <v>2074</v>
      </c>
      <c r="C2396" s="13" t="s">
        <v>605</v>
      </c>
      <c r="D2396" s="13" t="s">
        <v>697</v>
      </c>
      <c r="E2396" s="13" t="s">
        <v>93</v>
      </c>
      <c r="F2396" s="13" t="s">
        <v>2075</v>
      </c>
      <c r="G2396" s="20" t="str">
        <f>HYPERLINK("https://semena-nn.ru/catalog/55/888000000609","Фото")</f>
        <v>Фото</v>
      </c>
      <c r="H2396" s="18">
        <v>22.3</v>
      </c>
      <c r="I2396" s="27"/>
      <c r="J2396" s="13">
        <f>H2396*I2396</f>
        <v>0</v>
      </c>
    </row>
    <row r="2397" spans="1:10" ht="12" customHeight="1">
      <c r="A2397" s="13" t="s">
        <v>2076</v>
      </c>
      <c r="B2397" s="13" t="s">
        <v>2077</v>
      </c>
      <c r="C2397" s="13" t="s">
        <v>605</v>
      </c>
      <c r="D2397" s="13" t="s">
        <v>697</v>
      </c>
      <c r="E2397" s="13" t="s">
        <v>93</v>
      </c>
      <c r="F2397" s="13" t="s">
        <v>2078</v>
      </c>
      <c r="G2397" s="20" t="str">
        <f>HYPERLINK("https://semena-nn.ru/catalog/55/1126448","Фото")</f>
        <v>Фото</v>
      </c>
      <c r="H2397" s="19">
        <v>20.350000000000001</v>
      </c>
      <c r="I2397" s="27"/>
      <c r="J2397" s="13">
        <f>H2397*I2397</f>
        <v>0</v>
      </c>
    </row>
    <row r="2398" spans="1:10" ht="12" customHeight="1">
      <c r="A2398" s="13" t="s">
        <v>2079</v>
      </c>
      <c r="B2398" s="13" t="s">
        <v>2080</v>
      </c>
      <c r="C2398" s="13" t="s">
        <v>605</v>
      </c>
      <c r="D2398" s="13" t="s">
        <v>697</v>
      </c>
      <c r="E2398" s="13" t="s">
        <v>93</v>
      </c>
      <c r="F2398" s="13" t="s">
        <v>2081</v>
      </c>
      <c r="G2398" s="20" t="str">
        <f>HYPERLINK("https://semena-nn.ru/catalog/55/999000013134","Фото")</f>
        <v>Фото</v>
      </c>
      <c r="H2398" s="19">
        <v>25.95</v>
      </c>
      <c r="I2398" s="27"/>
      <c r="J2398" s="13">
        <f>H2398*I2398</f>
        <v>0</v>
      </c>
    </row>
    <row r="2399" spans="1:10" ht="12" customHeight="1">
      <c r="A2399" s="13" t="s">
        <v>6686</v>
      </c>
      <c r="B2399" s="13" t="s">
        <v>6687</v>
      </c>
      <c r="C2399" s="13" t="s">
        <v>605</v>
      </c>
      <c r="D2399" s="13" t="s">
        <v>87</v>
      </c>
      <c r="E2399" s="13" t="s">
        <v>93</v>
      </c>
      <c r="F2399" s="13" t="s">
        <v>6688</v>
      </c>
      <c r="G2399" s="20" t="str">
        <f>HYPERLINK("https://semena-nn.ru/catalog/55/100326","Фото")</f>
        <v>Фото</v>
      </c>
      <c r="H2399" s="18">
        <v>18.5</v>
      </c>
      <c r="I2399" s="27"/>
      <c r="J2399" s="13">
        <f>H2399*I2399</f>
        <v>0</v>
      </c>
    </row>
    <row r="2400" spans="1:10" ht="12" customHeight="1">
      <c r="A2400" s="13" t="s">
        <v>2082</v>
      </c>
      <c r="B2400" s="13" t="s">
        <v>2083</v>
      </c>
      <c r="C2400" s="13" t="s">
        <v>605</v>
      </c>
      <c r="D2400" s="13" t="s">
        <v>697</v>
      </c>
      <c r="E2400" s="13" t="s">
        <v>93</v>
      </c>
      <c r="F2400" s="13" t="s">
        <v>2084</v>
      </c>
      <c r="G2400" s="20" t="str">
        <f>HYPERLINK("https://semena-nn.ru/catalog/55/888000000449","Фото")</f>
        <v>Фото</v>
      </c>
      <c r="H2400" s="19">
        <v>21.05</v>
      </c>
      <c r="I2400" s="27"/>
      <c r="J2400" s="13">
        <f>H2400*I2400</f>
        <v>0</v>
      </c>
    </row>
    <row r="2401" spans="1:10" ht="12" customHeight="1">
      <c r="A2401" s="13" t="s">
        <v>4426</v>
      </c>
      <c r="B2401" s="13" t="s">
        <v>4427</v>
      </c>
      <c r="C2401" s="13" t="s">
        <v>605</v>
      </c>
      <c r="D2401" s="13" t="s">
        <v>3475</v>
      </c>
      <c r="E2401" s="13" t="s">
        <v>93</v>
      </c>
      <c r="F2401" s="13" t="s">
        <v>4428</v>
      </c>
      <c r="G2401" s="20" t="str">
        <f>HYPERLINK("https://semena-nn.ru/catalog/55/999000004099","Фото")</f>
        <v>Фото</v>
      </c>
      <c r="H2401" s="19">
        <v>20.95</v>
      </c>
      <c r="I2401" s="27"/>
      <c r="J2401" s="13">
        <f>H2401*I2401</f>
        <v>0</v>
      </c>
    </row>
    <row r="2402" spans="1:10" ht="12" customHeight="1">
      <c r="A2402" s="13" t="s">
        <v>4429</v>
      </c>
      <c r="B2402" s="13" t="s">
        <v>4430</v>
      </c>
      <c r="C2402" s="13" t="s">
        <v>624</v>
      </c>
      <c r="D2402" s="13" t="s">
        <v>3475</v>
      </c>
      <c r="E2402" s="13" t="s">
        <v>93</v>
      </c>
      <c r="F2402" s="13" t="s">
        <v>4431</v>
      </c>
      <c r="G2402" s="20" t="str">
        <f>HYPERLINK("https://semena-nn.ru/catalog/57/999000006012","Фото")</f>
        <v>Фото</v>
      </c>
      <c r="H2402" s="15">
        <v>42</v>
      </c>
      <c r="I2402" s="27"/>
      <c r="J2402" s="13">
        <f>H2402*I2402</f>
        <v>0</v>
      </c>
    </row>
    <row r="2403" spans="1:10" ht="12" customHeight="1">
      <c r="A2403" s="13" t="s">
        <v>4432</v>
      </c>
      <c r="B2403" s="13" t="s">
        <v>4433</v>
      </c>
      <c r="C2403" s="13" t="s">
        <v>624</v>
      </c>
      <c r="D2403" s="13" t="s">
        <v>3475</v>
      </c>
      <c r="E2403" s="13" t="s">
        <v>93</v>
      </c>
      <c r="F2403" s="13" t="s">
        <v>4434</v>
      </c>
      <c r="G2403" s="20" t="str">
        <f>HYPERLINK("https://semena-nn.ru/catalog/57/1123837","Фото")</f>
        <v>Фото</v>
      </c>
      <c r="H2403" s="15">
        <v>50</v>
      </c>
      <c r="I2403" s="27"/>
      <c r="J2403" s="13">
        <f>H2403*I2403</f>
        <v>0</v>
      </c>
    </row>
    <row r="2404" spans="1:10" ht="12" customHeight="1">
      <c r="A2404" s="13" t="s">
        <v>4435</v>
      </c>
      <c r="B2404" s="13" t="s">
        <v>4436</v>
      </c>
      <c r="C2404" s="13" t="s">
        <v>624</v>
      </c>
      <c r="D2404" s="13" t="s">
        <v>3475</v>
      </c>
      <c r="E2404" s="13" t="s">
        <v>93</v>
      </c>
      <c r="F2404" s="13" t="s">
        <v>4437</v>
      </c>
      <c r="G2404" s="20" t="str">
        <f>HYPERLINK("http://semena-nn.ru/catalog/57/1123838","Фото")</f>
        <v>Фото</v>
      </c>
      <c r="H2404" s="18">
        <v>44.1</v>
      </c>
      <c r="I2404" s="27"/>
      <c r="J2404" s="13">
        <f>H2404*I2404</f>
        <v>0</v>
      </c>
    </row>
    <row r="2405" spans="1:10" ht="12" customHeight="1">
      <c r="A2405" s="13" t="s">
        <v>4438</v>
      </c>
      <c r="B2405" s="13" t="s">
        <v>4439</v>
      </c>
      <c r="C2405" s="13" t="s">
        <v>624</v>
      </c>
      <c r="D2405" s="13" t="s">
        <v>3475</v>
      </c>
      <c r="E2405" s="13" t="s">
        <v>93</v>
      </c>
      <c r="F2405" s="13" t="s">
        <v>4440</v>
      </c>
      <c r="G2405" s="20" t="str">
        <f>HYPERLINK("https://semena-nn.ru/catalog/57/1123839","Фото")</f>
        <v>Фото</v>
      </c>
      <c r="H2405" s="18">
        <v>44.1</v>
      </c>
      <c r="I2405" s="27"/>
      <c r="J2405" s="13">
        <f>H2405*I2405</f>
        <v>0</v>
      </c>
    </row>
    <row r="2406" spans="1:10" ht="12" customHeight="1">
      <c r="A2406" s="13" t="s">
        <v>4441</v>
      </c>
      <c r="B2406" s="13" t="s">
        <v>4442</v>
      </c>
      <c r="C2406" s="13" t="s">
        <v>624</v>
      </c>
      <c r="D2406" s="13" t="s">
        <v>3475</v>
      </c>
      <c r="E2406" s="13" t="s">
        <v>93</v>
      </c>
      <c r="F2406" s="13" t="s">
        <v>4443</v>
      </c>
      <c r="G2406" s="20" t="str">
        <f>HYPERLINK("https://semena-nn.ru/catalog/57/999000020573","Фото")</f>
        <v>Фото</v>
      </c>
      <c r="H2406" s="18">
        <v>92.4</v>
      </c>
      <c r="I2406" s="27"/>
      <c r="J2406" s="13">
        <f>H2406*I2406</f>
        <v>0</v>
      </c>
    </row>
    <row r="2407" spans="1:10" ht="12" customHeight="1">
      <c r="A2407" s="13" t="s">
        <v>2085</v>
      </c>
      <c r="B2407" s="13" t="s">
        <v>2086</v>
      </c>
      <c r="C2407" s="13" t="s">
        <v>624</v>
      </c>
      <c r="D2407" s="13" t="s">
        <v>697</v>
      </c>
      <c r="E2407" s="13" t="s">
        <v>93</v>
      </c>
      <c r="F2407" s="13" t="s">
        <v>2087</v>
      </c>
      <c r="G2407" s="20" t="str">
        <f>HYPERLINK("https://semena-nn.ru/catalog/57/999000013136","Фото")</f>
        <v>Фото</v>
      </c>
      <c r="H2407" s="18">
        <v>97.4</v>
      </c>
      <c r="I2407" s="27"/>
      <c r="J2407" s="13">
        <f>H2407*I2407</f>
        <v>0</v>
      </c>
    </row>
    <row r="2408" spans="1:10" ht="12" customHeight="1">
      <c r="A2408" s="13" t="s">
        <v>4444</v>
      </c>
      <c r="B2408" s="13" t="s">
        <v>4445</v>
      </c>
      <c r="C2408" s="13" t="s">
        <v>624</v>
      </c>
      <c r="D2408" s="13" t="s">
        <v>3475</v>
      </c>
      <c r="E2408" s="13" t="s">
        <v>93</v>
      </c>
      <c r="F2408" s="13" t="s">
        <v>4446</v>
      </c>
      <c r="G2408" s="20" t="str">
        <f>HYPERLINK("https://semena-nn.ru/catalog/57/999000011552","Фото")</f>
        <v>Фото</v>
      </c>
      <c r="H2408" s="18">
        <v>69.3</v>
      </c>
      <c r="I2408" s="27"/>
      <c r="J2408" s="13">
        <f>H2408*I2408</f>
        <v>0</v>
      </c>
    </row>
    <row r="2409" spans="1:10" ht="12" customHeight="1">
      <c r="A2409" s="13" t="s">
        <v>4447</v>
      </c>
      <c r="B2409" s="13" t="s">
        <v>4448</v>
      </c>
      <c r="C2409" s="13" t="s">
        <v>624</v>
      </c>
      <c r="D2409" s="13" t="s">
        <v>3475</v>
      </c>
      <c r="E2409" s="13" t="s">
        <v>93</v>
      </c>
      <c r="F2409" s="13" t="s">
        <v>4449</v>
      </c>
      <c r="G2409" s="20" t="str">
        <f>HYPERLINK("https://semena-nn.ru/catalog/57/1125117","Фото")</f>
        <v>Фото</v>
      </c>
      <c r="H2409" s="18">
        <v>38.9</v>
      </c>
      <c r="I2409" s="27"/>
      <c r="J2409" s="13">
        <f>H2409*I2409</f>
        <v>0</v>
      </c>
    </row>
    <row r="2410" spans="1:10" ht="12" customHeight="1">
      <c r="A2410" s="13" t="s">
        <v>622</v>
      </c>
      <c r="B2410" s="13" t="s">
        <v>623</v>
      </c>
      <c r="C2410" s="13" t="s">
        <v>624</v>
      </c>
      <c r="D2410" s="13" t="s">
        <v>28</v>
      </c>
      <c r="E2410" s="13" t="s">
        <v>93</v>
      </c>
      <c r="F2410" s="13" t="s">
        <v>625</v>
      </c>
      <c r="G2410" s="20" t="str">
        <f>HYPERLINK("https://semena-nn.ru/catalog/57/999000019862","Фото")</f>
        <v>Фото</v>
      </c>
      <c r="H2410" s="19">
        <v>100.59</v>
      </c>
      <c r="I2410" s="27"/>
      <c r="J2410" s="13">
        <f>H2410*I2410</f>
        <v>0</v>
      </c>
    </row>
    <row r="2411" spans="1:10" ht="12" customHeight="1">
      <c r="A2411" s="13" t="s">
        <v>4450</v>
      </c>
      <c r="B2411" s="13" t="s">
        <v>4451</v>
      </c>
      <c r="C2411" s="13" t="s">
        <v>624</v>
      </c>
      <c r="D2411" s="13" t="s">
        <v>3475</v>
      </c>
      <c r="E2411" s="13" t="s">
        <v>93</v>
      </c>
      <c r="F2411" s="13" t="s">
        <v>4452</v>
      </c>
      <c r="G2411" s="20" t="str">
        <f>HYPERLINK("https://semena-nn.ru/catalog/57/999000011554","Фото")</f>
        <v>Фото</v>
      </c>
      <c r="H2411" s="18">
        <v>92.4</v>
      </c>
      <c r="I2411" s="27"/>
      <c r="J2411" s="13">
        <f>H2411*I2411</f>
        <v>0</v>
      </c>
    </row>
    <row r="2412" spans="1:10" ht="12" customHeight="1">
      <c r="A2412" s="13" t="s">
        <v>6415</v>
      </c>
      <c r="B2412" s="13" t="s">
        <v>6416</v>
      </c>
      <c r="C2412" s="13" t="s">
        <v>624</v>
      </c>
      <c r="D2412" s="13" t="s">
        <v>6407</v>
      </c>
      <c r="E2412" s="13" t="s">
        <v>93</v>
      </c>
      <c r="F2412" s="13" t="s">
        <v>6417</v>
      </c>
      <c r="G2412" s="20" t="str">
        <f>HYPERLINK("https://semena-nn.ru/catalog/57/999000020120","Фото")</f>
        <v>Фото</v>
      </c>
      <c r="H2412" s="19">
        <v>26.36</v>
      </c>
      <c r="I2412" s="27"/>
      <c r="J2412" s="13">
        <f>H2412*I2412</f>
        <v>0</v>
      </c>
    </row>
    <row r="2413" spans="1:10" ht="12" customHeight="1">
      <c r="A2413" s="13" t="s">
        <v>4453</v>
      </c>
      <c r="B2413" s="13" t="s">
        <v>4454</v>
      </c>
      <c r="C2413" s="13" t="s">
        <v>605</v>
      </c>
      <c r="D2413" s="13" t="s">
        <v>3475</v>
      </c>
      <c r="E2413" s="13" t="s">
        <v>93</v>
      </c>
      <c r="F2413" s="13" t="s">
        <v>4455</v>
      </c>
      <c r="G2413" s="20" t="str">
        <f>HYPERLINK("http://semena-nn.ru/catalog/55/1282595","Фото")</f>
        <v>Фото</v>
      </c>
      <c r="H2413" s="18">
        <v>18.7</v>
      </c>
      <c r="I2413" s="27"/>
      <c r="J2413" s="13">
        <f>H2413*I2413</f>
        <v>0</v>
      </c>
    </row>
    <row r="2414" spans="1:10" ht="12" customHeight="1">
      <c r="A2414" s="13" t="s">
        <v>7705</v>
      </c>
      <c r="B2414" s="13" t="s">
        <v>7706</v>
      </c>
      <c r="C2414" s="13" t="s">
        <v>605</v>
      </c>
      <c r="D2414" s="13" t="s">
        <v>7148</v>
      </c>
      <c r="E2414" s="13" t="s">
        <v>93</v>
      </c>
      <c r="F2414" s="13" t="s">
        <v>7707</v>
      </c>
      <c r="G2414" s="20" t="str">
        <f>HYPERLINK("https://semena-nn.ru/catalog/55/999000019666","Фото")</f>
        <v>Фото</v>
      </c>
      <c r="H2414" s="18">
        <v>60.5</v>
      </c>
      <c r="I2414" s="27"/>
      <c r="J2414" s="13">
        <f>H2414*I2414</f>
        <v>0</v>
      </c>
    </row>
    <row r="2415" spans="1:10" ht="12" customHeight="1">
      <c r="A2415" s="13" t="s">
        <v>4456</v>
      </c>
      <c r="B2415" s="13" t="s">
        <v>4457</v>
      </c>
      <c r="C2415" s="13" t="s">
        <v>624</v>
      </c>
      <c r="D2415" s="13" t="s">
        <v>3475</v>
      </c>
      <c r="E2415" s="13" t="s">
        <v>93</v>
      </c>
      <c r="F2415" s="13" t="s">
        <v>4458</v>
      </c>
      <c r="G2415" s="20" t="str">
        <f>HYPERLINK("http://semena-nn.ru/catalog/57/1307566","Фото")</f>
        <v>Фото</v>
      </c>
      <c r="H2415" s="18">
        <v>93.5</v>
      </c>
      <c r="I2415" s="27"/>
      <c r="J2415" s="13">
        <f>H2415*I2415</f>
        <v>0</v>
      </c>
    </row>
    <row r="2416" spans="1:10" ht="12" customHeight="1">
      <c r="A2416" s="13" t="s">
        <v>4459</v>
      </c>
      <c r="B2416" s="13" t="s">
        <v>4460</v>
      </c>
      <c r="C2416" s="13" t="s">
        <v>624</v>
      </c>
      <c r="D2416" s="13" t="s">
        <v>3475</v>
      </c>
      <c r="E2416" s="13" t="s">
        <v>93</v>
      </c>
      <c r="F2416" s="13" t="s">
        <v>4461</v>
      </c>
      <c r="G2416" s="20" t="str">
        <f>HYPERLINK("http://semena-nn.ru/catalog/57/1309655","Фото")</f>
        <v>Фото</v>
      </c>
      <c r="H2416" s="18">
        <v>93.5</v>
      </c>
      <c r="I2416" s="27"/>
      <c r="J2416" s="13">
        <f>H2416*I2416</f>
        <v>0</v>
      </c>
    </row>
    <row r="2417" spans="1:10" ht="12" customHeight="1">
      <c r="A2417" s="13" t="s">
        <v>6689</v>
      </c>
      <c r="B2417" s="13" t="s">
        <v>6690</v>
      </c>
      <c r="C2417" s="13" t="s">
        <v>671</v>
      </c>
      <c r="D2417" s="13" t="s">
        <v>87</v>
      </c>
      <c r="E2417" s="13" t="s">
        <v>93</v>
      </c>
      <c r="F2417" s="13" t="s">
        <v>6691</v>
      </c>
      <c r="G2417" s="20" t="str">
        <f>HYPERLINK("https://semena-nn.ru/catalog/56/104974","Фото")</f>
        <v>Фото</v>
      </c>
      <c r="H2417" s="19">
        <v>36.75</v>
      </c>
      <c r="I2417" s="27"/>
      <c r="J2417" s="13">
        <f>H2417*I2417</f>
        <v>0</v>
      </c>
    </row>
    <row r="2418" spans="1:10" ht="12" customHeight="1">
      <c r="A2418" s="13" t="s">
        <v>2088</v>
      </c>
      <c r="B2418" s="13" t="s">
        <v>2089</v>
      </c>
      <c r="C2418" s="13" t="s">
        <v>605</v>
      </c>
      <c r="D2418" s="13" t="s">
        <v>697</v>
      </c>
      <c r="E2418" s="13" t="s">
        <v>93</v>
      </c>
      <c r="F2418" s="13" t="s">
        <v>2090</v>
      </c>
      <c r="G2418" s="20" t="str">
        <f>HYPERLINK("http://semena-nn.ru/catalog/55/1118121","Фото")</f>
        <v>Фото</v>
      </c>
      <c r="H2418" s="18">
        <v>18.7</v>
      </c>
      <c r="I2418" s="27"/>
      <c r="J2418" s="13">
        <f>H2418*I2418</f>
        <v>0</v>
      </c>
    </row>
    <row r="2419" spans="1:10" ht="12" customHeight="1">
      <c r="A2419" s="13" t="s">
        <v>6692</v>
      </c>
      <c r="B2419" s="13" t="s">
        <v>6693</v>
      </c>
      <c r="C2419" s="13" t="s">
        <v>605</v>
      </c>
      <c r="D2419" s="13" t="s">
        <v>87</v>
      </c>
      <c r="E2419" s="13" t="s">
        <v>93</v>
      </c>
      <c r="F2419" s="13" t="s">
        <v>6694</v>
      </c>
      <c r="G2419" s="20" t="str">
        <f>HYPERLINK("https://semena-nn.ru/catalog/55/101900","Фото")</f>
        <v>Фото</v>
      </c>
      <c r="H2419" s="19">
        <v>19.95</v>
      </c>
      <c r="I2419" s="27"/>
      <c r="J2419" s="13">
        <f>H2419*I2419</f>
        <v>0</v>
      </c>
    </row>
    <row r="2420" spans="1:10" ht="12" customHeight="1">
      <c r="A2420" s="13" t="s">
        <v>6695</v>
      </c>
      <c r="B2420" s="13" t="s">
        <v>6696</v>
      </c>
      <c r="C2420" s="13" t="s">
        <v>605</v>
      </c>
      <c r="D2420" s="13" t="s">
        <v>87</v>
      </c>
      <c r="E2420" s="13" t="s">
        <v>93</v>
      </c>
      <c r="F2420" s="13" t="s">
        <v>6697</v>
      </c>
      <c r="G2420" s="20" t="str">
        <f>HYPERLINK("https://semena-nn.ru/catalog/55/999000011313","Фото")</f>
        <v>Фото</v>
      </c>
      <c r="H2420" s="18">
        <v>18.399999999999999</v>
      </c>
      <c r="I2420" s="27"/>
      <c r="J2420" s="13">
        <f>H2420*I2420</f>
        <v>0</v>
      </c>
    </row>
    <row r="2421" spans="1:10" ht="12" customHeight="1">
      <c r="A2421" s="13" t="s">
        <v>4462</v>
      </c>
      <c r="B2421" s="13" t="s">
        <v>4463</v>
      </c>
      <c r="C2421" s="13" t="s">
        <v>605</v>
      </c>
      <c r="D2421" s="13" t="s">
        <v>3475</v>
      </c>
      <c r="E2421" s="13" t="s">
        <v>93</v>
      </c>
      <c r="F2421" s="13" t="s">
        <v>4464</v>
      </c>
      <c r="G2421" s="20" t="str">
        <f>HYPERLINK("https://semena-nn.ru/catalog/55/999000008009","Фото")</f>
        <v>Фото</v>
      </c>
      <c r="H2421" s="18">
        <v>18.7</v>
      </c>
      <c r="I2421" s="27"/>
      <c r="J2421" s="13">
        <f>H2421*I2421</f>
        <v>0</v>
      </c>
    </row>
    <row r="2422" spans="1:10" ht="12" customHeight="1">
      <c r="A2422" s="13" t="s">
        <v>2091</v>
      </c>
      <c r="B2422" s="13" t="s">
        <v>2092</v>
      </c>
      <c r="C2422" s="13" t="s">
        <v>605</v>
      </c>
      <c r="D2422" s="13" t="s">
        <v>697</v>
      </c>
      <c r="E2422" s="13" t="s">
        <v>93</v>
      </c>
      <c r="F2422" s="13" t="s">
        <v>2093</v>
      </c>
      <c r="G2422" s="20" t="str">
        <f>HYPERLINK("https://semena-nn.ru/catalog/55/1124583","Фото")</f>
        <v>Фото</v>
      </c>
      <c r="H2422" s="18">
        <v>17.8</v>
      </c>
      <c r="I2422" s="27"/>
      <c r="J2422" s="13">
        <f>H2422*I2422</f>
        <v>0</v>
      </c>
    </row>
    <row r="2423" spans="1:10" ht="12" customHeight="1">
      <c r="A2423" s="13" t="s">
        <v>3440</v>
      </c>
      <c r="B2423" s="13" t="s">
        <v>3441</v>
      </c>
      <c r="C2423" s="13" t="s">
        <v>605</v>
      </c>
      <c r="D2423" s="13" t="s">
        <v>697</v>
      </c>
      <c r="E2423" s="13" t="s">
        <v>3064</v>
      </c>
      <c r="F2423" s="13" t="s">
        <v>3442</v>
      </c>
      <c r="G2423" s="20" t="str">
        <f>HYPERLINK("https://semena-nn.ru/catalog/55/999000010477","Фото")</f>
        <v>Фото</v>
      </c>
      <c r="H2423" s="18">
        <v>13.2</v>
      </c>
      <c r="I2423" s="27"/>
      <c r="J2423" s="13">
        <f>H2423*I2423</f>
        <v>0</v>
      </c>
    </row>
    <row r="2424" spans="1:10" ht="12" customHeight="1">
      <c r="A2424" s="13" t="s">
        <v>6698</v>
      </c>
      <c r="B2424" s="13" t="s">
        <v>6699</v>
      </c>
      <c r="C2424" s="13" t="s">
        <v>605</v>
      </c>
      <c r="D2424" s="13" t="s">
        <v>87</v>
      </c>
      <c r="E2424" s="13" t="s">
        <v>93</v>
      </c>
      <c r="F2424" s="13" t="s">
        <v>6700</v>
      </c>
      <c r="G2424" s="20" t="str">
        <f>HYPERLINK("https://semena-nn.ru/catalog/55/999000011916","Фото")</f>
        <v>Фото</v>
      </c>
      <c r="H2424" s="19">
        <v>68.25</v>
      </c>
      <c r="I2424" s="27"/>
      <c r="J2424" s="13">
        <f>H2424*I2424</f>
        <v>0</v>
      </c>
    </row>
    <row r="2425" spans="1:10" ht="12" customHeight="1">
      <c r="A2425" s="13" t="s">
        <v>6701</v>
      </c>
      <c r="B2425" s="13" t="s">
        <v>6702</v>
      </c>
      <c r="C2425" s="13" t="s">
        <v>605</v>
      </c>
      <c r="D2425" s="13" t="s">
        <v>87</v>
      </c>
      <c r="E2425" s="13" t="s">
        <v>93</v>
      </c>
      <c r="F2425" s="13" t="s">
        <v>6703</v>
      </c>
      <c r="G2425" s="20" t="str">
        <f>HYPERLINK("https://semena-nn.ru/catalog/55/999000020308","Фото")</f>
        <v>Фото</v>
      </c>
      <c r="H2425" s="19">
        <v>68.25</v>
      </c>
      <c r="I2425" s="27"/>
      <c r="J2425" s="13">
        <f>H2425*I2425</f>
        <v>0</v>
      </c>
    </row>
    <row r="2426" spans="1:10" ht="12" customHeight="1">
      <c r="A2426" s="13" t="s">
        <v>4465</v>
      </c>
      <c r="B2426" s="13" t="s">
        <v>4466</v>
      </c>
      <c r="C2426" s="13" t="s">
        <v>605</v>
      </c>
      <c r="D2426" s="13" t="s">
        <v>3475</v>
      </c>
      <c r="E2426" s="13" t="s">
        <v>93</v>
      </c>
      <c r="F2426" s="13" t="s">
        <v>4467</v>
      </c>
      <c r="G2426" s="20" t="str">
        <f>HYPERLINK("https://semena-nn.ru/catalog/55/1120052","Фото")</f>
        <v>Фото</v>
      </c>
      <c r="H2426" s="18">
        <v>18.7</v>
      </c>
      <c r="I2426" s="27"/>
      <c r="J2426" s="13">
        <f>H2426*I2426</f>
        <v>0</v>
      </c>
    </row>
    <row r="2427" spans="1:10" ht="12" customHeight="1">
      <c r="A2427" s="13" t="s">
        <v>3443</v>
      </c>
      <c r="B2427" s="13" t="s">
        <v>3444</v>
      </c>
      <c r="C2427" s="13" t="s">
        <v>605</v>
      </c>
      <c r="D2427" s="13" t="s">
        <v>697</v>
      </c>
      <c r="E2427" s="13" t="s">
        <v>3064</v>
      </c>
      <c r="F2427" s="13" t="s">
        <v>3445</v>
      </c>
      <c r="G2427" s="20" t="str">
        <f>HYPERLINK("https://semena-nn.ru/catalog/55/888000000864","Фото")</f>
        <v>Фото</v>
      </c>
      <c r="H2427" s="19">
        <v>12.65</v>
      </c>
      <c r="I2427" s="27"/>
      <c r="J2427" s="13">
        <f>H2427*I2427</f>
        <v>0</v>
      </c>
    </row>
    <row r="2428" spans="1:10" ht="12" customHeight="1">
      <c r="A2428" s="13" t="s">
        <v>4468</v>
      </c>
      <c r="B2428" s="13" t="s">
        <v>4469</v>
      </c>
      <c r="C2428" s="13" t="s">
        <v>605</v>
      </c>
      <c r="D2428" s="13" t="s">
        <v>3475</v>
      </c>
      <c r="E2428" s="13" t="s">
        <v>93</v>
      </c>
      <c r="F2428" s="13" t="s">
        <v>4470</v>
      </c>
      <c r="G2428" s="20" t="str">
        <f>HYPERLINK("https://semena-nn.ru/catalog/55/114210","Фото")</f>
        <v>Фото</v>
      </c>
      <c r="H2428" s="18">
        <v>18.7</v>
      </c>
      <c r="I2428" s="27"/>
      <c r="J2428" s="13">
        <f>H2428*I2428</f>
        <v>0</v>
      </c>
    </row>
    <row r="2429" spans="1:10" ht="12" customHeight="1">
      <c r="A2429" s="13" t="s">
        <v>2094</v>
      </c>
      <c r="B2429" s="13" t="s">
        <v>2095</v>
      </c>
      <c r="C2429" s="13" t="s">
        <v>605</v>
      </c>
      <c r="D2429" s="13" t="s">
        <v>697</v>
      </c>
      <c r="E2429" s="13" t="s">
        <v>93</v>
      </c>
      <c r="F2429" s="13" t="s">
        <v>2096</v>
      </c>
      <c r="G2429" s="20" t="str">
        <f>HYPERLINK("https://semena-nn.ru/catalog/55/1125353","Фото")</f>
        <v>Фото</v>
      </c>
      <c r="H2429" s="18">
        <v>20.9</v>
      </c>
      <c r="I2429" s="27"/>
      <c r="J2429" s="13">
        <f>H2429*I2429</f>
        <v>0</v>
      </c>
    </row>
    <row r="2430" spans="1:10" ht="12" customHeight="1">
      <c r="A2430" s="13" t="s">
        <v>4471</v>
      </c>
      <c r="B2430" s="13" t="s">
        <v>4472</v>
      </c>
      <c r="C2430" s="13" t="s">
        <v>671</v>
      </c>
      <c r="D2430" s="13" t="s">
        <v>3475</v>
      </c>
      <c r="E2430" s="13" t="s">
        <v>93</v>
      </c>
      <c r="F2430" s="13" t="s">
        <v>4473</v>
      </c>
      <c r="G2430" s="20" t="str">
        <f>HYPERLINK("https://semena-nn.ru/catalog/56/999000009878","Фото")</f>
        <v>Фото</v>
      </c>
      <c r="H2430" s="15">
        <v>60</v>
      </c>
      <c r="I2430" s="27"/>
      <c r="J2430" s="13">
        <f>H2430*I2430</f>
        <v>0</v>
      </c>
    </row>
    <row r="2431" spans="1:10" ht="12" customHeight="1">
      <c r="A2431" s="13" t="s">
        <v>4474</v>
      </c>
      <c r="B2431" s="13" t="s">
        <v>4475</v>
      </c>
      <c r="C2431" s="13" t="s">
        <v>671</v>
      </c>
      <c r="D2431" s="13" t="s">
        <v>3475</v>
      </c>
      <c r="E2431" s="13" t="s">
        <v>93</v>
      </c>
      <c r="F2431" s="13" t="s">
        <v>4476</v>
      </c>
      <c r="G2431" s="20" t="str">
        <f>HYPERLINK("https://semena-nn.ru/catalog/56/1302346","Фото")</f>
        <v>Фото</v>
      </c>
      <c r="H2431" s="15">
        <v>60</v>
      </c>
      <c r="I2431" s="27"/>
      <c r="J2431" s="13">
        <f>H2431*I2431</f>
        <v>0</v>
      </c>
    </row>
    <row r="2432" spans="1:10" ht="12" customHeight="1">
      <c r="A2432" s="13" t="s">
        <v>4477</v>
      </c>
      <c r="B2432" s="13" t="s">
        <v>4478</v>
      </c>
      <c r="C2432" s="13" t="s">
        <v>671</v>
      </c>
      <c r="D2432" s="13" t="s">
        <v>3475</v>
      </c>
      <c r="E2432" s="13" t="s">
        <v>93</v>
      </c>
      <c r="F2432" s="13" t="s">
        <v>4479</v>
      </c>
      <c r="G2432" s="20" t="str">
        <f>HYPERLINK("https://semena-nn.ru/catalog/56/999000009394","Фото")</f>
        <v>Фото</v>
      </c>
      <c r="H2432" s="15">
        <v>60</v>
      </c>
      <c r="I2432" s="27"/>
      <c r="J2432" s="13">
        <f>H2432*I2432</f>
        <v>0</v>
      </c>
    </row>
    <row r="2433" spans="1:10" ht="12" customHeight="1">
      <c r="A2433" s="13" t="s">
        <v>4480</v>
      </c>
      <c r="B2433" s="13" t="s">
        <v>4481</v>
      </c>
      <c r="C2433" s="13" t="s">
        <v>671</v>
      </c>
      <c r="D2433" s="13" t="s">
        <v>3475</v>
      </c>
      <c r="E2433" s="13" t="s">
        <v>93</v>
      </c>
      <c r="F2433" s="13" t="s">
        <v>4482</v>
      </c>
      <c r="G2433" s="20" t="str">
        <f>HYPERLINK("https://semena-nn.ru/catalog/56/999000008004","Фото")</f>
        <v>Фото</v>
      </c>
      <c r="H2433" s="15">
        <v>60</v>
      </c>
      <c r="I2433" s="27"/>
      <c r="J2433" s="13">
        <f>H2433*I2433</f>
        <v>0</v>
      </c>
    </row>
    <row r="2434" spans="1:10" ht="12" customHeight="1">
      <c r="A2434" s="13" t="s">
        <v>6339</v>
      </c>
      <c r="B2434" s="13" t="s">
        <v>6340</v>
      </c>
      <c r="C2434" s="13" t="s">
        <v>605</v>
      </c>
      <c r="D2434" s="13" t="s">
        <v>6295</v>
      </c>
      <c r="E2434" s="13" t="s">
        <v>93</v>
      </c>
      <c r="F2434" s="13" t="s">
        <v>6341</v>
      </c>
      <c r="G2434" s="20" t="str">
        <f>HYPERLINK("https://semena-nn.ru/catalog/55/999000020730","Фото")</f>
        <v>Фото</v>
      </c>
      <c r="H2434" s="18">
        <v>157.5</v>
      </c>
      <c r="I2434" s="27"/>
      <c r="J2434" s="13">
        <f>H2434*I2434</f>
        <v>0</v>
      </c>
    </row>
    <row r="2435" spans="1:10" ht="12" customHeight="1">
      <c r="A2435" s="13" t="s">
        <v>2097</v>
      </c>
      <c r="B2435" s="13" t="s">
        <v>2098</v>
      </c>
      <c r="C2435" s="13" t="s">
        <v>2099</v>
      </c>
      <c r="D2435" s="13" t="s">
        <v>697</v>
      </c>
      <c r="E2435" s="13" t="s">
        <v>93</v>
      </c>
      <c r="F2435" s="13" t="s">
        <v>2100</v>
      </c>
      <c r="G2435" s="20" t="str">
        <f>HYPERLINK("https://semena-nn.ru/catalog/56/1121053","Фото")</f>
        <v>Фото</v>
      </c>
      <c r="H2435" s="18">
        <v>33.5</v>
      </c>
      <c r="I2435" s="27"/>
      <c r="J2435" s="13">
        <f>H2435*I2435</f>
        <v>0</v>
      </c>
    </row>
    <row r="2436" spans="1:10" ht="12" customHeight="1">
      <c r="A2436" s="13" t="s">
        <v>626</v>
      </c>
      <c r="B2436" s="13" t="s">
        <v>627</v>
      </c>
      <c r="C2436" s="13" t="s">
        <v>628</v>
      </c>
      <c r="D2436" s="13" t="s">
        <v>28</v>
      </c>
      <c r="E2436" s="13" t="s">
        <v>93</v>
      </c>
      <c r="F2436" s="13" t="s">
        <v>629</v>
      </c>
      <c r="G2436" s="20" t="str">
        <f>HYPERLINK("https://semena-nn.ru/catalog/56/999000009751","Фото")</f>
        <v>Фото</v>
      </c>
      <c r="H2436" s="19">
        <v>66.89</v>
      </c>
      <c r="I2436" s="27"/>
      <c r="J2436" s="13">
        <f>H2436*I2436</f>
        <v>0</v>
      </c>
    </row>
    <row r="2437" spans="1:10" ht="12" customHeight="1">
      <c r="A2437" s="13" t="s">
        <v>630</v>
      </c>
      <c r="B2437" s="13" t="s">
        <v>631</v>
      </c>
      <c r="C2437" s="13" t="s">
        <v>628</v>
      </c>
      <c r="D2437" s="13" t="s">
        <v>28</v>
      </c>
      <c r="E2437" s="13" t="s">
        <v>93</v>
      </c>
      <c r="F2437" s="13" t="s">
        <v>632</v>
      </c>
      <c r="G2437" s="20" t="str">
        <f>HYPERLINK("https://semena-nn.ru/catalog/56/999000009754","Фото")</f>
        <v>Фото</v>
      </c>
      <c r="H2437" s="19">
        <v>72.66</v>
      </c>
      <c r="I2437" s="27"/>
      <c r="J2437" s="13">
        <f>H2437*I2437</f>
        <v>0</v>
      </c>
    </row>
    <row r="2438" spans="1:10" ht="12" customHeight="1">
      <c r="A2438" s="13" t="s">
        <v>4483</v>
      </c>
      <c r="B2438" s="13" t="s">
        <v>4484</v>
      </c>
      <c r="C2438" s="13" t="s">
        <v>671</v>
      </c>
      <c r="D2438" s="13" t="s">
        <v>3475</v>
      </c>
      <c r="E2438" s="13" t="s">
        <v>93</v>
      </c>
      <c r="F2438" s="13" t="s">
        <v>4485</v>
      </c>
      <c r="G2438" s="20" t="str">
        <f>HYPERLINK("http://semena-nn.ru/catalog/56/1302357","Фото")</f>
        <v>Фото</v>
      </c>
      <c r="H2438" s="18">
        <v>50.2</v>
      </c>
      <c r="I2438" s="27"/>
      <c r="J2438" s="13">
        <f>H2438*I2438</f>
        <v>0</v>
      </c>
    </row>
    <row r="2439" spans="1:10" ht="12" customHeight="1">
      <c r="A2439" s="13" t="s">
        <v>4486</v>
      </c>
      <c r="B2439" s="13" t="s">
        <v>4487</v>
      </c>
      <c r="C2439" s="13" t="s">
        <v>628</v>
      </c>
      <c r="D2439" s="13" t="s">
        <v>3475</v>
      </c>
      <c r="E2439" s="13" t="s">
        <v>93</v>
      </c>
      <c r="F2439" s="13" t="s">
        <v>4488</v>
      </c>
      <c r="G2439" s="20" t="str">
        <f>HYPERLINK("https://semena-nn.ru/catalog/56/999000005665","Фото")</f>
        <v>Фото</v>
      </c>
      <c r="H2439" s="18">
        <v>38.9</v>
      </c>
      <c r="I2439" s="27"/>
      <c r="J2439" s="13">
        <f>H2439*I2439</f>
        <v>0</v>
      </c>
    </row>
    <row r="2440" spans="1:10" ht="12" customHeight="1">
      <c r="A2440" s="13" t="s">
        <v>2101</v>
      </c>
      <c r="B2440" s="13" t="s">
        <v>2102</v>
      </c>
      <c r="C2440" s="13" t="s">
        <v>628</v>
      </c>
      <c r="D2440" s="13" t="s">
        <v>697</v>
      </c>
      <c r="E2440" s="13" t="s">
        <v>93</v>
      </c>
      <c r="F2440" s="13" t="s">
        <v>2103</v>
      </c>
      <c r="G2440" s="20" t="str">
        <f>HYPERLINK("https://semena-nn.ru/catalog/56/96415","Фото")</f>
        <v>Фото</v>
      </c>
      <c r="H2440" s="19">
        <v>24.45</v>
      </c>
      <c r="I2440" s="27"/>
      <c r="J2440" s="13">
        <f>H2440*I2440</f>
        <v>0</v>
      </c>
    </row>
    <row r="2441" spans="1:10" ht="12" customHeight="1">
      <c r="A2441" s="13" t="s">
        <v>4489</v>
      </c>
      <c r="B2441" s="13" t="s">
        <v>4490</v>
      </c>
      <c r="C2441" s="13" t="s">
        <v>671</v>
      </c>
      <c r="D2441" s="13" t="s">
        <v>3475</v>
      </c>
      <c r="E2441" s="13" t="s">
        <v>93</v>
      </c>
      <c r="F2441" s="13" t="s">
        <v>4491</v>
      </c>
      <c r="G2441" s="20" t="str">
        <f>HYPERLINK("http://semena-nn.ru/catalog/56/1302359","Фото")</f>
        <v>Фото</v>
      </c>
      <c r="H2441" s="15">
        <v>63</v>
      </c>
      <c r="I2441" s="27"/>
      <c r="J2441" s="13">
        <f>H2441*I2441</f>
        <v>0</v>
      </c>
    </row>
    <row r="2442" spans="1:10" ht="12" customHeight="1">
      <c r="A2442" s="13" t="s">
        <v>2104</v>
      </c>
      <c r="B2442" s="13" t="s">
        <v>2105</v>
      </c>
      <c r="C2442" s="13" t="s">
        <v>671</v>
      </c>
      <c r="D2442" s="13" t="s">
        <v>697</v>
      </c>
      <c r="E2442" s="13" t="s">
        <v>93</v>
      </c>
      <c r="F2442" s="13" t="s">
        <v>2106</v>
      </c>
      <c r="G2442" s="20" t="str">
        <f>HYPERLINK("https://semena-nn.ru/catalog/56/1125701","Фото")</f>
        <v>Фото</v>
      </c>
      <c r="H2442" s="18">
        <v>19.5</v>
      </c>
      <c r="I2442" s="27"/>
      <c r="J2442" s="13">
        <f>H2442*I2442</f>
        <v>0</v>
      </c>
    </row>
    <row r="2443" spans="1:10" ht="12" customHeight="1">
      <c r="A2443" s="13" t="s">
        <v>6704</v>
      </c>
      <c r="B2443" s="13" t="s">
        <v>6705</v>
      </c>
      <c r="C2443" s="13" t="s">
        <v>605</v>
      </c>
      <c r="D2443" s="13" t="s">
        <v>87</v>
      </c>
      <c r="E2443" s="13" t="s">
        <v>93</v>
      </c>
      <c r="F2443" s="13" t="s">
        <v>6706</v>
      </c>
      <c r="G2443" s="20" t="str">
        <f>HYPERLINK("https://semena-nn.ru/catalog/55/1288009","Фото")</f>
        <v>Фото</v>
      </c>
      <c r="H2443" s="18">
        <v>31.5</v>
      </c>
      <c r="I2443" s="27"/>
      <c r="J2443" s="13">
        <f>H2443*I2443</f>
        <v>0</v>
      </c>
    </row>
    <row r="2444" spans="1:10" ht="12" customHeight="1">
      <c r="A2444" s="13" t="s">
        <v>2107</v>
      </c>
      <c r="B2444" s="13" t="s">
        <v>2108</v>
      </c>
      <c r="C2444" s="13" t="s">
        <v>605</v>
      </c>
      <c r="D2444" s="13" t="s">
        <v>697</v>
      </c>
      <c r="E2444" s="13" t="s">
        <v>93</v>
      </c>
      <c r="F2444" s="13" t="s">
        <v>2109</v>
      </c>
      <c r="G2444" s="20" t="str">
        <f>HYPERLINK("https://semena-nn.ru/catalog/55/1118122","Фото")</f>
        <v>Фото</v>
      </c>
      <c r="H2444" s="18">
        <v>21.2</v>
      </c>
      <c r="I2444" s="27"/>
      <c r="J2444" s="13">
        <f>H2444*I2444</f>
        <v>0</v>
      </c>
    </row>
    <row r="2445" spans="1:10" ht="12" customHeight="1">
      <c r="A2445" s="13" t="s">
        <v>2110</v>
      </c>
      <c r="B2445" s="13" t="s">
        <v>2111</v>
      </c>
      <c r="C2445" s="13" t="s">
        <v>671</v>
      </c>
      <c r="D2445" s="13" t="s">
        <v>697</v>
      </c>
      <c r="E2445" s="13" t="s">
        <v>93</v>
      </c>
      <c r="F2445" s="13" t="s">
        <v>2112</v>
      </c>
      <c r="G2445" s="20" t="str">
        <f>HYPERLINK("https://semena-nn.ru/catalog/56/888000000610","Фото")</f>
        <v>Фото</v>
      </c>
      <c r="H2445" s="18">
        <v>28.3</v>
      </c>
      <c r="I2445" s="27"/>
      <c r="J2445" s="13">
        <f>H2445*I2445</f>
        <v>0</v>
      </c>
    </row>
    <row r="2446" spans="1:10" ht="12" customHeight="1">
      <c r="A2446" s="13" t="s">
        <v>5635</v>
      </c>
      <c r="B2446" s="13" t="s">
        <v>5636</v>
      </c>
      <c r="C2446" s="13" t="s">
        <v>671</v>
      </c>
      <c r="D2446" s="13" t="s">
        <v>5136</v>
      </c>
      <c r="E2446" s="13" t="s">
        <v>93</v>
      </c>
      <c r="F2446" s="13" t="s">
        <v>5637</v>
      </c>
      <c r="G2446" s="20" t="str">
        <f>HYPERLINK("https://semena-nn.ru/catalog/56/888000000465","Фото")</f>
        <v>Фото</v>
      </c>
      <c r="H2446" s="18">
        <v>112.5</v>
      </c>
      <c r="I2446" s="27"/>
      <c r="J2446" s="13">
        <f>H2446*I2446</f>
        <v>0</v>
      </c>
    </row>
    <row r="2447" spans="1:10" ht="12" customHeight="1">
      <c r="A2447" s="13" t="s">
        <v>2113</v>
      </c>
      <c r="B2447" s="13" t="s">
        <v>2114</v>
      </c>
      <c r="C2447" s="13" t="s">
        <v>605</v>
      </c>
      <c r="D2447" s="13" t="s">
        <v>697</v>
      </c>
      <c r="E2447" s="13" t="s">
        <v>93</v>
      </c>
      <c r="F2447" s="13" t="s">
        <v>2115</v>
      </c>
      <c r="G2447" s="20" t="str">
        <f>HYPERLINK("https://semena-nn.ru/catalog/55/94783","Фото")</f>
        <v>Фото</v>
      </c>
      <c r="H2447" s="18">
        <v>61.1</v>
      </c>
      <c r="I2447" s="27"/>
      <c r="J2447" s="13">
        <f>H2447*I2447</f>
        <v>0</v>
      </c>
    </row>
    <row r="2448" spans="1:10" ht="12" customHeight="1">
      <c r="A2448" s="13" t="s">
        <v>4492</v>
      </c>
      <c r="B2448" s="13" t="s">
        <v>4493</v>
      </c>
      <c r="C2448" s="13" t="s">
        <v>605</v>
      </c>
      <c r="D2448" s="13" t="s">
        <v>3475</v>
      </c>
      <c r="E2448" s="13" t="s">
        <v>93</v>
      </c>
      <c r="F2448" s="13" t="s">
        <v>4494</v>
      </c>
      <c r="G2448" s="20" t="str">
        <f>HYPERLINK("https://semena-nn.ru/catalog/55/1290851","Фото")</f>
        <v>Фото</v>
      </c>
      <c r="H2448" s="18">
        <v>18.7</v>
      </c>
      <c r="I2448" s="27"/>
      <c r="J2448" s="13">
        <f>H2448*I2448</f>
        <v>0</v>
      </c>
    </row>
    <row r="2449" spans="1:10" ht="12" customHeight="1">
      <c r="A2449" s="13" t="s">
        <v>2116</v>
      </c>
      <c r="B2449" s="13" t="s">
        <v>2117</v>
      </c>
      <c r="C2449" s="13" t="s">
        <v>671</v>
      </c>
      <c r="D2449" s="13" t="s">
        <v>697</v>
      </c>
      <c r="E2449" s="13" t="s">
        <v>93</v>
      </c>
      <c r="F2449" s="13" t="s">
        <v>2118</v>
      </c>
      <c r="G2449" s="20" t="str">
        <f>HYPERLINK("https://semena-nn.ru/catalog/56/888000000888","Фото")</f>
        <v>Фото</v>
      </c>
      <c r="H2449" s="18">
        <v>21.8</v>
      </c>
      <c r="I2449" s="27"/>
      <c r="J2449" s="13">
        <f>H2449*I2449</f>
        <v>0</v>
      </c>
    </row>
    <row r="2450" spans="1:10" ht="12" customHeight="1">
      <c r="A2450" s="13" t="s">
        <v>2119</v>
      </c>
      <c r="B2450" s="13" t="s">
        <v>2120</v>
      </c>
      <c r="C2450" s="13" t="s">
        <v>671</v>
      </c>
      <c r="D2450" s="13" t="s">
        <v>697</v>
      </c>
      <c r="E2450" s="13" t="s">
        <v>93</v>
      </c>
      <c r="F2450" s="13" t="s">
        <v>2121</v>
      </c>
      <c r="G2450" s="20" t="str">
        <f>HYPERLINK("https://semena-nn.ru/catalog/56/999000009206","Фото")</f>
        <v>Фото</v>
      </c>
      <c r="H2450" s="18">
        <v>18.7</v>
      </c>
      <c r="I2450" s="27"/>
      <c r="J2450" s="13">
        <f>H2450*I2450</f>
        <v>0</v>
      </c>
    </row>
    <row r="2451" spans="1:10" ht="12" customHeight="1">
      <c r="A2451" s="13" t="s">
        <v>6707</v>
      </c>
      <c r="B2451" s="13" t="s">
        <v>6708</v>
      </c>
      <c r="C2451" s="13" t="s">
        <v>628</v>
      </c>
      <c r="D2451" s="13" t="s">
        <v>87</v>
      </c>
      <c r="E2451" s="13" t="s">
        <v>93</v>
      </c>
      <c r="F2451" s="13" t="s">
        <v>6709</v>
      </c>
      <c r="G2451" s="20" t="str">
        <f>HYPERLINK("https://semena-nn.ru/catalog/56/999000013203","Фото")</f>
        <v>Фото</v>
      </c>
      <c r="H2451" s="19">
        <v>26.25</v>
      </c>
      <c r="I2451" s="27"/>
      <c r="J2451" s="13">
        <f>H2451*I2451</f>
        <v>0</v>
      </c>
    </row>
    <row r="2452" spans="1:10" ht="12" customHeight="1">
      <c r="A2452" s="13" t="s">
        <v>6710</v>
      </c>
      <c r="B2452" s="13" t="s">
        <v>6711</v>
      </c>
      <c r="C2452" s="13" t="s">
        <v>628</v>
      </c>
      <c r="D2452" s="13" t="s">
        <v>87</v>
      </c>
      <c r="E2452" s="13" t="s">
        <v>93</v>
      </c>
      <c r="F2452" s="13" t="s">
        <v>6712</v>
      </c>
      <c r="G2452" s="20" t="str">
        <f>HYPERLINK("https://semena-nn.ru/catalog/56/1121793","Фото")</f>
        <v>Фото</v>
      </c>
      <c r="H2452" s="18">
        <v>23.1</v>
      </c>
      <c r="I2452" s="27"/>
      <c r="J2452" s="13">
        <f>H2452*I2452</f>
        <v>0</v>
      </c>
    </row>
    <row r="2453" spans="1:10" ht="12" customHeight="1">
      <c r="A2453" s="13" t="s">
        <v>4495</v>
      </c>
      <c r="B2453" s="13" t="s">
        <v>4496</v>
      </c>
      <c r="C2453" s="13" t="s">
        <v>605</v>
      </c>
      <c r="D2453" s="13" t="s">
        <v>3475</v>
      </c>
      <c r="E2453" s="13" t="s">
        <v>93</v>
      </c>
      <c r="F2453" s="13" t="s">
        <v>4497</v>
      </c>
      <c r="G2453" s="20" t="str">
        <f>HYPERLINK("https://semena-nn.ru/catalog/55/999000007931","Фото")</f>
        <v>Фото</v>
      </c>
      <c r="H2453" s="18">
        <v>18.7</v>
      </c>
      <c r="I2453" s="27"/>
      <c r="J2453" s="13">
        <f>H2453*I2453</f>
        <v>0</v>
      </c>
    </row>
    <row r="2454" spans="1:10" ht="12" customHeight="1">
      <c r="A2454" s="13" t="s">
        <v>5638</v>
      </c>
      <c r="B2454" s="13" t="s">
        <v>5639</v>
      </c>
      <c r="C2454" s="13" t="s">
        <v>671</v>
      </c>
      <c r="D2454" s="13" t="s">
        <v>5136</v>
      </c>
      <c r="E2454" s="13" t="s">
        <v>93</v>
      </c>
      <c r="F2454" s="13" t="s">
        <v>5640</v>
      </c>
      <c r="G2454" s="20" t="str">
        <f>HYPERLINK("https://semena-nn.ru/catalog/56/888000001273","Фото")</f>
        <v>Фото</v>
      </c>
      <c r="H2454" s="18">
        <v>29.9</v>
      </c>
      <c r="I2454" s="27"/>
      <c r="J2454" s="13">
        <f>H2454*I2454</f>
        <v>0</v>
      </c>
    </row>
    <row r="2455" spans="1:10" ht="12" customHeight="1">
      <c r="A2455" s="13" t="s">
        <v>5641</v>
      </c>
      <c r="B2455" s="13" t="s">
        <v>5642</v>
      </c>
      <c r="C2455" s="13" t="s">
        <v>671</v>
      </c>
      <c r="D2455" s="13" t="s">
        <v>5136</v>
      </c>
      <c r="E2455" s="13" t="s">
        <v>93</v>
      </c>
      <c r="F2455" s="13" t="s">
        <v>5643</v>
      </c>
      <c r="G2455" s="20" t="str">
        <f>HYPERLINK("https://semena-nn.ru/catalog/56/888000001274","Фото")</f>
        <v>Фото</v>
      </c>
      <c r="H2455" s="15">
        <v>48</v>
      </c>
      <c r="I2455" s="27"/>
      <c r="J2455" s="13">
        <f>H2455*I2455</f>
        <v>0</v>
      </c>
    </row>
    <row r="2456" spans="1:10" ht="12" customHeight="1">
      <c r="A2456" s="13" t="s">
        <v>5644</v>
      </c>
      <c r="B2456" s="13" t="s">
        <v>5645</v>
      </c>
      <c r="C2456" s="13" t="s">
        <v>671</v>
      </c>
      <c r="D2456" s="13" t="s">
        <v>5136</v>
      </c>
      <c r="E2456" s="13" t="s">
        <v>93</v>
      </c>
      <c r="F2456" s="13" t="s">
        <v>5646</v>
      </c>
      <c r="G2456" s="20" t="str">
        <f>HYPERLINK("https://semena-nn.ru/catalog/56/888000001275","Фото")</f>
        <v>Фото</v>
      </c>
      <c r="H2456" s="18">
        <v>61.5</v>
      </c>
      <c r="I2456" s="27"/>
      <c r="J2456" s="13">
        <f>H2456*I2456</f>
        <v>0</v>
      </c>
    </row>
    <row r="2457" spans="1:10" ht="12" customHeight="1">
      <c r="A2457" s="13" t="s">
        <v>2122</v>
      </c>
      <c r="B2457" s="13" t="s">
        <v>2123</v>
      </c>
      <c r="C2457" s="13" t="s">
        <v>605</v>
      </c>
      <c r="D2457" s="13" t="s">
        <v>697</v>
      </c>
      <c r="E2457" s="13" t="s">
        <v>93</v>
      </c>
      <c r="F2457" s="17" t="s">
        <v>2124</v>
      </c>
      <c r="G2457" s="20" t="str">
        <f>HYPERLINK("https://semena-nn.ru/catalog/55/999000006303","Фото")</f>
        <v>Фото</v>
      </c>
      <c r="H2457" s="19">
        <v>28.85</v>
      </c>
      <c r="I2457" s="27"/>
      <c r="J2457" s="13">
        <f>H2457*I2457</f>
        <v>0</v>
      </c>
    </row>
    <row r="2458" spans="1:10" ht="12" customHeight="1">
      <c r="A2458" s="13" t="s">
        <v>2125</v>
      </c>
      <c r="B2458" s="13" t="s">
        <v>2126</v>
      </c>
      <c r="C2458" s="13" t="s">
        <v>605</v>
      </c>
      <c r="D2458" s="13" t="s">
        <v>697</v>
      </c>
      <c r="E2458" s="13" t="s">
        <v>93</v>
      </c>
      <c r="F2458" s="13" t="s">
        <v>2127</v>
      </c>
      <c r="G2458" s="20" t="str">
        <f>HYPERLINK("https://semena-nn.ru/catalog/55/999000009208","Фото")</f>
        <v>Фото</v>
      </c>
      <c r="H2458" s="19">
        <v>29.45</v>
      </c>
      <c r="I2458" s="27"/>
      <c r="J2458" s="13">
        <f>H2458*I2458</f>
        <v>0</v>
      </c>
    </row>
    <row r="2459" spans="1:10" ht="12" customHeight="1">
      <c r="A2459" s="13" t="s">
        <v>2128</v>
      </c>
      <c r="B2459" s="13" t="s">
        <v>2129</v>
      </c>
      <c r="C2459" s="13" t="s">
        <v>605</v>
      </c>
      <c r="D2459" s="13" t="s">
        <v>697</v>
      </c>
      <c r="E2459" s="13" t="s">
        <v>93</v>
      </c>
      <c r="F2459" s="13" t="s">
        <v>2130</v>
      </c>
      <c r="G2459" s="20" t="str">
        <f>HYPERLINK("https://semena-nn.ru/catalog/55/888000000889","Фото")</f>
        <v>Фото</v>
      </c>
      <c r="H2459" s="18">
        <v>18.7</v>
      </c>
      <c r="I2459" s="27"/>
      <c r="J2459" s="13">
        <f>H2459*I2459</f>
        <v>0</v>
      </c>
    </row>
    <row r="2460" spans="1:10" ht="12" customHeight="1">
      <c r="A2460" s="13" t="s">
        <v>4498</v>
      </c>
      <c r="B2460" s="13" t="s">
        <v>4499</v>
      </c>
      <c r="C2460" s="13" t="s">
        <v>671</v>
      </c>
      <c r="D2460" s="13" t="s">
        <v>3475</v>
      </c>
      <c r="E2460" s="13" t="s">
        <v>93</v>
      </c>
      <c r="F2460" s="13" t="s">
        <v>4500</v>
      </c>
      <c r="G2460" s="20" t="str">
        <f>HYPERLINK("http://semena-nn.ru/catalog/56/114222","Фото")</f>
        <v>Фото</v>
      </c>
      <c r="H2460" s="18">
        <v>18.7</v>
      </c>
      <c r="I2460" s="27"/>
      <c r="J2460" s="13">
        <f>H2460*I2460</f>
        <v>0</v>
      </c>
    </row>
    <row r="2461" spans="1:10" ht="12" customHeight="1">
      <c r="A2461" s="13" t="s">
        <v>4501</v>
      </c>
      <c r="B2461" s="13" t="s">
        <v>4502</v>
      </c>
      <c r="C2461" s="13" t="s">
        <v>605</v>
      </c>
      <c r="D2461" s="13" t="s">
        <v>3475</v>
      </c>
      <c r="E2461" s="13" t="s">
        <v>93</v>
      </c>
      <c r="F2461" s="13" t="s">
        <v>4503</v>
      </c>
      <c r="G2461" s="20" t="str">
        <f>HYPERLINK("https://semena-nn.ru/catalog/55/999000020572","Фото")</f>
        <v>Фото</v>
      </c>
      <c r="H2461" s="15">
        <v>35</v>
      </c>
      <c r="I2461" s="27"/>
      <c r="J2461" s="13">
        <f>H2461*I2461</f>
        <v>0</v>
      </c>
    </row>
    <row r="2462" spans="1:10" ht="12" customHeight="1">
      <c r="A2462" s="13" t="s">
        <v>4504</v>
      </c>
      <c r="B2462" s="13" t="s">
        <v>4505</v>
      </c>
      <c r="C2462" s="13" t="s">
        <v>605</v>
      </c>
      <c r="D2462" s="13" t="s">
        <v>3475</v>
      </c>
      <c r="E2462" s="13" t="s">
        <v>93</v>
      </c>
      <c r="F2462" s="13" t="s">
        <v>4506</v>
      </c>
      <c r="G2462" s="20" t="str">
        <f>HYPERLINK("https://semena-nn.ru/catalog/55/113403","Фото")</f>
        <v>Фото</v>
      </c>
      <c r="H2462" s="18">
        <v>18.7</v>
      </c>
      <c r="I2462" s="27"/>
      <c r="J2462" s="13">
        <f>H2462*I2462</f>
        <v>0</v>
      </c>
    </row>
    <row r="2463" spans="1:10" ht="12" customHeight="1">
      <c r="A2463" s="13" t="s">
        <v>6713</v>
      </c>
      <c r="B2463" s="13" t="s">
        <v>6714</v>
      </c>
      <c r="C2463" s="13" t="s">
        <v>605</v>
      </c>
      <c r="D2463" s="13" t="s">
        <v>87</v>
      </c>
      <c r="E2463" s="13" t="s">
        <v>93</v>
      </c>
      <c r="F2463" s="13" t="s">
        <v>6715</v>
      </c>
      <c r="G2463" s="20" t="str">
        <f>HYPERLINK("http://semena-nn.ru/catalog/55/1124706","Фото")</f>
        <v>Фото</v>
      </c>
      <c r="H2463" s="19">
        <v>19.45</v>
      </c>
      <c r="I2463" s="27"/>
      <c r="J2463" s="13">
        <f>H2463*I2463</f>
        <v>0</v>
      </c>
    </row>
    <row r="2464" spans="1:10" ht="12" customHeight="1">
      <c r="A2464" s="13" t="s">
        <v>5647</v>
      </c>
      <c r="B2464" s="13" t="s">
        <v>5648</v>
      </c>
      <c r="C2464" s="13" t="s">
        <v>671</v>
      </c>
      <c r="D2464" s="13" t="s">
        <v>5136</v>
      </c>
      <c r="E2464" s="13" t="s">
        <v>93</v>
      </c>
      <c r="F2464" s="13" t="s">
        <v>5649</v>
      </c>
      <c r="G2464" s="20" t="str">
        <f>HYPERLINK("https://semena-nn.ru/catalog/56/999000019929","Фото")</f>
        <v>Фото</v>
      </c>
      <c r="H2464" s="15">
        <v>189</v>
      </c>
      <c r="I2464" s="27"/>
      <c r="J2464" s="13">
        <f>H2464*I2464</f>
        <v>0</v>
      </c>
    </row>
    <row r="2465" spans="1:10" ht="12" customHeight="1">
      <c r="A2465" s="13" t="s">
        <v>4507</v>
      </c>
      <c r="B2465" s="13" t="s">
        <v>4508</v>
      </c>
      <c r="C2465" s="13" t="s">
        <v>624</v>
      </c>
      <c r="D2465" s="13" t="s">
        <v>3475</v>
      </c>
      <c r="E2465" s="13" t="s">
        <v>93</v>
      </c>
      <c r="F2465" s="13" t="s">
        <v>4509</v>
      </c>
      <c r="G2465" s="20" t="str">
        <f>HYPERLINK("http://semena-nn.ru/catalog/57/1304907","Фото")</f>
        <v>Фото</v>
      </c>
      <c r="H2465" s="18">
        <v>59.5</v>
      </c>
      <c r="I2465" s="27"/>
      <c r="J2465" s="13">
        <f>H2465*I2465</f>
        <v>0</v>
      </c>
    </row>
    <row r="2466" spans="1:10" ht="12" customHeight="1">
      <c r="A2466" s="13" t="s">
        <v>5650</v>
      </c>
      <c r="B2466" s="13" t="s">
        <v>5651</v>
      </c>
      <c r="C2466" s="13" t="s">
        <v>671</v>
      </c>
      <c r="D2466" s="13" t="s">
        <v>5136</v>
      </c>
      <c r="E2466" s="13" t="s">
        <v>93</v>
      </c>
      <c r="F2466" s="13" t="s">
        <v>5652</v>
      </c>
      <c r="G2466" s="20" t="str">
        <f>HYPERLINK("https://semena-nn.ru/catalog/56/999000019931","Фото")</f>
        <v>Фото</v>
      </c>
      <c r="H2466" s="18">
        <v>49.9</v>
      </c>
      <c r="I2466" s="27"/>
      <c r="J2466" s="13">
        <f>H2466*I2466</f>
        <v>0</v>
      </c>
    </row>
    <row r="2467" spans="1:10" ht="12" customHeight="1">
      <c r="A2467" s="13" t="s">
        <v>5653</v>
      </c>
      <c r="B2467" s="13" t="s">
        <v>5654</v>
      </c>
      <c r="C2467" s="13" t="s">
        <v>671</v>
      </c>
      <c r="D2467" s="13" t="s">
        <v>5136</v>
      </c>
      <c r="E2467" s="13" t="s">
        <v>93</v>
      </c>
      <c r="F2467" s="13" t="s">
        <v>5655</v>
      </c>
      <c r="G2467" s="20" t="str">
        <f>HYPERLINK("https://semena-nn.ru/catalog/56/999000019932","Фото")</f>
        <v>Фото</v>
      </c>
      <c r="H2467" s="18">
        <v>49.9</v>
      </c>
      <c r="I2467" s="27"/>
      <c r="J2467" s="13">
        <f>H2467*I2467</f>
        <v>0</v>
      </c>
    </row>
    <row r="2468" spans="1:10" ht="12" customHeight="1">
      <c r="A2468" s="13" t="s">
        <v>5656</v>
      </c>
      <c r="B2468" s="13" t="s">
        <v>5657</v>
      </c>
      <c r="C2468" s="13" t="s">
        <v>671</v>
      </c>
      <c r="D2468" s="13" t="s">
        <v>5136</v>
      </c>
      <c r="E2468" s="13" t="s">
        <v>93</v>
      </c>
      <c r="F2468" s="13" t="s">
        <v>5658</v>
      </c>
      <c r="G2468" s="20" t="str">
        <f>HYPERLINK("https://semena-nn.ru/catalog/56/999000019933","Фото")</f>
        <v>Фото</v>
      </c>
      <c r="H2468" s="18">
        <v>72.900000000000006</v>
      </c>
      <c r="I2468" s="27"/>
      <c r="J2468" s="13">
        <f>H2468*I2468</f>
        <v>0</v>
      </c>
    </row>
    <row r="2469" spans="1:10" ht="12" customHeight="1">
      <c r="A2469" s="13" t="s">
        <v>633</v>
      </c>
      <c r="B2469" s="13" t="s">
        <v>634</v>
      </c>
      <c r="C2469" s="13" t="s">
        <v>605</v>
      </c>
      <c r="D2469" s="13" t="s">
        <v>28</v>
      </c>
      <c r="E2469" s="13" t="s">
        <v>93</v>
      </c>
      <c r="F2469" s="13" t="s">
        <v>635</v>
      </c>
      <c r="G2469" s="20" t="str">
        <f>HYPERLINK("https://semena-nn.ru/catalog/55/888000000580","Фото")</f>
        <v>Фото</v>
      </c>
      <c r="H2469" s="19">
        <v>54.29</v>
      </c>
      <c r="I2469" s="27"/>
      <c r="J2469" s="13">
        <f>H2469*I2469</f>
        <v>0</v>
      </c>
    </row>
    <row r="2470" spans="1:10" ht="12" customHeight="1">
      <c r="A2470" s="13" t="s">
        <v>636</v>
      </c>
      <c r="B2470" s="13" t="s">
        <v>637</v>
      </c>
      <c r="C2470" s="13" t="s">
        <v>605</v>
      </c>
      <c r="D2470" s="13" t="s">
        <v>28</v>
      </c>
      <c r="E2470" s="13" t="s">
        <v>93</v>
      </c>
      <c r="F2470" s="13" t="s">
        <v>638</v>
      </c>
      <c r="G2470" s="20" t="str">
        <f>HYPERLINK("https://semena-nn.ru/catalog/55/888000000581","Фото")</f>
        <v>Фото</v>
      </c>
      <c r="H2470" s="19">
        <v>54.29</v>
      </c>
      <c r="I2470" s="27"/>
      <c r="J2470" s="13">
        <f>H2470*I2470</f>
        <v>0</v>
      </c>
    </row>
    <row r="2471" spans="1:10" ht="12" customHeight="1">
      <c r="A2471" s="13" t="s">
        <v>5659</v>
      </c>
      <c r="B2471" s="13" t="s">
        <v>5660</v>
      </c>
      <c r="C2471" s="13" t="s">
        <v>5661</v>
      </c>
      <c r="D2471" s="13" t="s">
        <v>5136</v>
      </c>
      <c r="E2471" s="13" t="s">
        <v>93</v>
      </c>
      <c r="F2471" s="13" t="s">
        <v>5662</v>
      </c>
      <c r="G2471" s="20" t="str">
        <f>HYPERLINK("https://semena-nn.ru/catalog/56/999000013259","Фото")</f>
        <v>Фото</v>
      </c>
      <c r="H2471" s="15">
        <v>123</v>
      </c>
      <c r="I2471" s="27"/>
      <c r="J2471" s="13">
        <f>H2471*I2471</f>
        <v>0</v>
      </c>
    </row>
    <row r="2472" spans="1:10" ht="12" customHeight="1">
      <c r="A2472" s="13" t="s">
        <v>5040</v>
      </c>
      <c r="B2472" s="13" t="s">
        <v>5041</v>
      </c>
      <c r="C2472" s="13" t="s">
        <v>605</v>
      </c>
      <c r="D2472" s="13" t="s">
        <v>3475</v>
      </c>
      <c r="E2472" s="13" t="s">
        <v>5009</v>
      </c>
      <c r="F2472" s="13" t="s">
        <v>5042</v>
      </c>
      <c r="G2472" s="20" t="str">
        <f>HYPERLINK("https://semena-nn.ru/catalog/55/999000012261","Фото")</f>
        <v>Фото</v>
      </c>
      <c r="H2472" s="19">
        <v>12.61</v>
      </c>
      <c r="I2472" s="27"/>
      <c r="J2472" s="13">
        <f>H2472*I2472</f>
        <v>0</v>
      </c>
    </row>
    <row r="2473" spans="1:10" ht="12" customHeight="1">
      <c r="A2473" s="13" t="s">
        <v>2131</v>
      </c>
      <c r="B2473" s="13" t="s">
        <v>2132</v>
      </c>
      <c r="C2473" s="13" t="s">
        <v>605</v>
      </c>
      <c r="D2473" s="13" t="s">
        <v>697</v>
      </c>
      <c r="E2473" s="13" t="s">
        <v>93</v>
      </c>
      <c r="F2473" s="13" t="s">
        <v>2133</v>
      </c>
      <c r="G2473" s="20" t="str">
        <f>HYPERLINK("https://semena-nn.ru/catalog/55/888000000452","Фото")</f>
        <v>Фото</v>
      </c>
      <c r="H2473" s="19">
        <v>27.25</v>
      </c>
      <c r="I2473" s="27"/>
      <c r="J2473" s="13">
        <f>H2473*I2473</f>
        <v>0</v>
      </c>
    </row>
    <row r="2474" spans="1:10" ht="12" customHeight="1">
      <c r="A2474" s="13" t="s">
        <v>3446</v>
      </c>
      <c r="B2474" s="13" t="s">
        <v>3447</v>
      </c>
      <c r="C2474" s="13" t="s">
        <v>605</v>
      </c>
      <c r="D2474" s="13" t="s">
        <v>697</v>
      </c>
      <c r="E2474" s="13" t="s">
        <v>3064</v>
      </c>
      <c r="F2474" s="13" t="s">
        <v>3448</v>
      </c>
      <c r="G2474" s="20" t="str">
        <f>HYPERLINK("https://semena-nn.ru/catalog/55/999000010976","Фото")</f>
        <v>Фото</v>
      </c>
      <c r="H2474" s="19">
        <v>12.65</v>
      </c>
      <c r="I2474" s="27"/>
      <c r="J2474" s="13">
        <f>H2474*I2474</f>
        <v>0</v>
      </c>
    </row>
    <row r="2475" spans="1:10" ht="12" customHeight="1">
      <c r="A2475" s="13" t="s">
        <v>2134</v>
      </c>
      <c r="B2475" s="13" t="s">
        <v>2135</v>
      </c>
      <c r="C2475" s="13" t="s">
        <v>605</v>
      </c>
      <c r="D2475" s="13" t="s">
        <v>697</v>
      </c>
      <c r="E2475" s="13" t="s">
        <v>93</v>
      </c>
      <c r="F2475" s="13" t="s">
        <v>2136</v>
      </c>
      <c r="G2475" s="20" t="str">
        <f>HYPERLINK("http://semena-nn.ru/catalog/55/113067","Фото")</f>
        <v>Фото</v>
      </c>
      <c r="H2475" s="18">
        <v>18.7</v>
      </c>
      <c r="I2475" s="27"/>
      <c r="J2475" s="13">
        <f>H2475*I2475</f>
        <v>0</v>
      </c>
    </row>
    <row r="2476" spans="1:10" ht="12" customHeight="1">
      <c r="A2476" s="13" t="s">
        <v>4510</v>
      </c>
      <c r="B2476" s="13" t="s">
        <v>4511</v>
      </c>
      <c r="C2476" s="13" t="s">
        <v>624</v>
      </c>
      <c r="D2476" s="13" t="s">
        <v>3475</v>
      </c>
      <c r="E2476" s="13" t="s">
        <v>93</v>
      </c>
      <c r="F2476" s="13" t="s">
        <v>4512</v>
      </c>
      <c r="G2476" s="20" t="str">
        <f>HYPERLINK("https://semena-nn.ru/catalog/57/1282578","Фото")</f>
        <v>Фото</v>
      </c>
      <c r="H2476" s="19">
        <v>70.349999999999994</v>
      </c>
      <c r="I2476" s="27"/>
      <c r="J2476" s="13">
        <f>H2476*I2476</f>
        <v>0</v>
      </c>
    </row>
    <row r="2477" spans="1:10" ht="12" customHeight="1">
      <c r="A2477" s="13" t="s">
        <v>4513</v>
      </c>
      <c r="B2477" s="13" t="s">
        <v>4514</v>
      </c>
      <c r="C2477" s="13" t="s">
        <v>605</v>
      </c>
      <c r="D2477" s="13" t="s">
        <v>3475</v>
      </c>
      <c r="E2477" s="13" t="s">
        <v>93</v>
      </c>
      <c r="F2477" s="13" t="s">
        <v>4515</v>
      </c>
      <c r="G2477" s="20" t="str">
        <f>HYPERLINK("https://semena-nn.ru/catalog/55/999000012480","Фото")</f>
        <v>Фото</v>
      </c>
      <c r="H2477" s="18">
        <v>18.7</v>
      </c>
      <c r="I2477" s="27"/>
      <c r="J2477" s="13">
        <f>H2477*I2477</f>
        <v>0</v>
      </c>
    </row>
    <row r="2478" spans="1:10" ht="12" customHeight="1">
      <c r="A2478" s="13" t="s">
        <v>4516</v>
      </c>
      <c r="B2478" s="13" t="s">
        <v>4517</v>
      </c>
      <c r="C2478" s="13" t="s">
        <v>605</v>
      </c>
      <c r="D2478" s="13" t="s">
        <v>3475</v>
      </c>
      <c r="E2478" s="13" t="s">
        <v>93</v>
      </c>
      <c r="F2478" s="13" t="s">
        <v>4518</v>
      </c>
      <c r="G2478" s="20" t="str">
        <f>HYPERLINK("https://semena-nn.ru/catalog/55/1282328","Фото")</f>
        <v>Фото</v>
      </c>
      <c r="H2478" s="18">
        <v>31.5</v>
      </c>
      <c r="I2478" s="27"/>
      <c r="J2478" s="13">
        <f>H2478*I2478</f>
        <v>0</v>
      </c>
    </row>
    <row r="2479" spans="1:10" ht="12" customHeight="1">
      <c r="A2479" s="13" t="s">
        <v>4519</v>
      </c>
      <c r="B2479" s="13" t="s">
        <v>4520</v>
      </c>
      <c r="C2479" s="13" t="s">
        <v>605</v>
      </c>
      <c r="D2479" s="13" t="s">
        <v>3475</v>
      </c>
      <c r="E2479" s="13" t="s">
        <v>93</v>
      </c>
      <c r="F2479" s="13" t="s">
        <v>4521</v>
      </c>
      <c r="G2479" s="20" t="str">
        <f>HYPERLINK("http://semena-nn.ru/catalog/55/1282329","Фото")</f>
        <v>Фото</v>
      </c>
      <c r="H2479" s="18">
        <v>18.7</v>
      </c>
      <c r="I2479" s="27"/>
      <c r="J2479" s="13">
        <f>H2479*I2479</f>
        <v>0</v>
      </c>
    </row>
    <row r="2480" spans="1:10" ht="12" customHeight="1">
      <c r="A2480" s="13" t="s">
        <v>4522</v>
      </c>
      <c r="B2480" s="13" t="s">
        <v>4523</v>
      </c>
      <c r="C2480" s="13" t="s">
        <v>671</v>
      </c>
      <c r="D2480" s="13" t="s">
        <v>3475</v>
      </c>
      <c r="E2480" s="13" t="s">
        <v>93</v>
      </c>
      <c r="F2480" s="13" t="s">
        <v>4524</v>
      </c>
      <c r="G2480" s="20" t="str">
        <f>HYPERLINK("https://semena-nn.ru/catalog/56/113369","Фото")</f>
        <v>Фото</v>
      </c>
      <c r="H2480" s="18">
        <v>18.7</v>
      </c>
      <c r="I2480" s="27"/>
      <c r="J2480" s="13">
        <f>H2480*I2480</f>
        <v>0</v>
      </c>
    </row>
    <row r="2481" spans="1:10" ht="12" customHeight="1">
      <c r="A2481" s="13" t="s">
        <v>5663</v>
      </c>
      <c r="B2481" s="13" t="s">
        <v>5664</v>
      </c>
      <c r="C2481" s="13" t="s">
        <v>624</v>
      </c>
      <c r="D2481" s="13" t="s">
        <v>5136</v>
      </c>
      <c r="E2481" s="13" t="s">
        <v>93</v>
      </c>
      <c r="F2481" s="13" t="s">
        <v>5665</v>
      </c>
      <c r="G2481" s="20" t="str">
        <f>HYPERLINK("https://semena-nn.ru/catalog/57/999000013260","Фото")</f>
        <v>Фото</v>
      </c>
      <c r="H2481" s="15">
        <v>52</v>
      </c>
      <c r="I2481" s="27"/>
      <c r="J2481" s="13">
        <f>H2481*I2481</f>
        <v>0</v>
      </c>
    </row>
    <row r="2482" spans="1:10" ht="12" customHeight="1">
      <c r="A2482" s="13" t="s">
        <v>5666</v>
      </c>
      <c r="B2482" s="13" t="s">
        <v>5667</v>
      </c>
      <c r="C2482" s="13" t="s">
        <v>624</v>
      </c>
      <c r="D2482" s="13" t="s">
        <v>5136</v>
      </c>
      <c r="E2482" s="13" t="s">
        <v>93</v>
      </c>
      <c r="F2482" s="13" t="s">
        <v>5668</v>
      </c>
      <c r="G2482" s="20" t="str">
        <f>HYPERLINK("https://semena-nn.ru/catalog/57/999000020422","Фото")</f>
        <v>Фото</v>
      </c>
      <c r="H2482" s="15">
        <v>182</v>
      </c>
      <c r="I2482" s="27"/>
      <c r="J2482" s="13">
        <f>H2482*I2482</f>
        <v>0</v>
      </c>
    </row>
    <row r="2483" spans="1:10" ht="12" customHeight="1">
      <c r="A2483" s="13" t="s">
        <v>5669</v>
      </c>
      <c r="B2483" s="13" t="s">
        <v>5670</v>
      </c>
      <c r="C2483" s="13" t="s">
        <v>624</v>
      </c>
      <c r="D2483" s="13" t="s">
        <v>5136</v>
      </c>
      <c r="E2483" s="13" t="s">
        <v>93</v>
      </c>
      <c r="F2483" s="13" t="s">
        <v>5671</v>
      </c>
      <c r="G2483" s="20" t="str">
        <f>HYPERLINK("https://semena-nn.ru/catalog/57/999000013261","Фото")</f>
        <v>Фото</v>
      </c>
      <c r="H2483" s="15">
        <v>186</v>
      </c>
      <c r="I2483" s="27"/>
      <c r="J2483" s="13">
        <f>H2483*I2483</f>
        <v>0</v>
      </c>
    </row>
    <row r="2484" spans="1:10" ht="12" customHeight="1">
      <c r="A2484" s="13" t="s">
        <v>5672</v>
      </c>
      <c r="B2484" s="13" t="s">
        <v>5673</v>
      </c>
      <c r="C2484" s="13" t="s">
        <v>624</v>
      </c>
      <c r="D2484" s="13" t="s">
        <v>5136</v>
      </c>
      <c r="E2484" s="13" t="s">
        <v>93</v>
      </c>
      <c r="F2484" s="13" t="s">
        <v>5674</v>
      </c>
      <c r="G2484" s="20" t="str">
        <f>HYPERLINK("https://semena-nn.ru/catalog/57/888000007456","Фото")</f>
        <v>Фото</v>
      </c>
      <c r="H2484" s="15">
        <v>186</v>
      </c>
      <c r="I2484" s="27"/>
      <c r="J2484" s="13">
        <f>H2484*I2484</f>
        <v>0</v>
      </c>
    </row>
    <row r="2485" spans="1:10" ht="12" customHeight="1">
      <c r="A2485" s="13" t="s">
        <v>6716</v>
      </c>
      <c r="B2485" s="13" t="s">
        <v>6717</v>
      </c>
      <c r="C2485" s="13" t="s">
        <v>605</v>
      </c>
      <c r="D2485" s="13" t="s">
        <v>87</v>
      </c>
      <c r="E2485" s="13" t="s">
        <v>93</v>
      </c>
      <c r="F2485" s="13" t="s">
        <v>6718</v>
      </c>
      <c r="G2485" s="20" t="str">
        <f>HYPERLINK("https://semena-nn.ru/catalog/55/999000008426","Фото")</f>
        <v>Фото</v>
      </c>
      <c r="H2485" s="19">
        <v>17.75</v>
      </c>
      <c r="I2485" s="27"/>
      <c r="J2485" s="13">
        <f>H2485*I2485</f>
        <v>0</v>
      </c>
    </row>
    <row r="2486" spans="1:10" ht="12" customHeight="1">
      <c r="A2486" s="13" t="s">
        <v>4525</v>
      </c>
      <c r="B2486" s="13" t="s">
        <v>4526</v>
      </c>
      <c r="C2486" s="13" t="s">
        <v>624</v>
      </c>
      <c r="D2486" s="13" t="s">
        <v>3475</v>
      </c>
      <c r="E2486" s="13" t="s">
        <v>93</v>
      </c>
      <c r="F2486" s="13" t="s">
        <v>4527</v>
      </c>
      <c r="G2486" s="20" t="str">
        <f>HYPERLINK("https://semena-nn.ru/catalog/57/999000001344","Фото")</f>
        <v>Фото</v>
      </c>
      <c r="H2486" s="18">
        <v>37.799999999999997</v>
      </c>
      <c r="I2486" s="27"/>
      <c r="J2486" s="13">
        <f>H2486*I2486</f>
        <v>0</v>
      </c>
    </row>
    <row r="2487" spans="1:10" ht="12" customHeight="1">
      <c r="A2487" s="13" t="s">
        <v>5675</v>
      </c>
      <c r="B2487" s="13" t="s">
        <v>5676</v>
      </c>
      <c r="C2487" s="13" t="s">
        <v>624</v>
      </c>
      <c r="D2487" s="13" t="s">
        <v>5136</v>
      </c>
      <c r="E2487" s="13" t="s">
        <v>93</v>
      </c>
      <c r="F2487" s="13" t="s">
        <v>5677</v>
      </c>
      <c r="G2487" s="20" t="str">
        <f>HYPERLINK("https://semena-nn.ru/catalog/57/999000013263","Фото")</f>
        <v>Фото</v>
      </c>
      <c r="H2487" s="15">
        <v>56</v>
      </c>
      <c r="I2487" s="27"/>
      <c r="J2487" s="13">
        <f>H2487*I2487</f>
        <v>0</v>
      </c>
    </row>
    <row r="2488" spans="1:10" ht="12" customHeight="1">
      <c r="A2488" s="13" t="s">
        <v>5678</v>
      </c>
      <c r="B2488" s="13" t="s">
        <v>5679</v>
      </c>
      <c r="C2488" s="13" t="s">
        <v>5661</v>
      </c>
      <c r="D2488" s="13" t="s">
        <v>5136</v>
      </c>
      <c r="E2488" s="13" t="s">
        <v>93</v>
      </c>
      <c r="F2488" s="13" t="s">
        <v>5680</v>
      </c>
      <c r="G2488" s="20" t="str">
        <f>HYPERLINK("https://semena-nn.ru/catalog/56/999000013264","Фото")</f>
        <v>Фото</v>
      </c>
      <c r="H2488" s="18">
        <v>72.900000000000006</v>
      </c>
      <c r="I2488" s="27"/>
      <c r="J2488" s="13">
        <f>H2488*I2488</f>
        <v>0</v>
      </c>
    </row>
    <row r="2489" spans="1:10" ht="12" customHeight="1">
      <c r="A2489" s="13" t="s">
        <v>2137</v>
      </c>
      <c r="B2489" s="13" t="s">
        <v>2138</v>
      </c>
      <c r="C2489" s="13" t="s">
        <v>605</v>
      </c>
      <c r="D2489" s="13" t="s">
        <v>697</v>
      </c>
      <c r="E2489" s="13" t="s">
        <v>93</v>
      </c>
      <c r="F2489" s="13" t="s">
        <v>2139</v>
      </c>
      <c r="G2489" s="20" t="str">
        <f>HYPERLINK("https://semena-nn.ru/catalog/55/888000000890","Фото")</f>
        <v>Фото</v>
      </c>
      <c r="H2489" s="18">
        <v>18.7</v>
      </c>
      <c r="I2489" s="27"/>
      <c r="J2489" s="13">
        <f>H2489*I2489</f>
        <v>0</v>
      </c>
    </row>
    <row r="2490" spans="1:10" ht="12" customHeight="1">
      <c r="A2490" s="13" t="s">
        <v>2140</v>
      </c>
      <c r="B2490" s="13" t="s">
        <v>2141</v>
      </c>
      <c r="C2490" s="13" t="s">
        <v>605</v>
      </c>
      <c r="D2490" s="13" t="s">
        <v>697</v>
      </c>
      <c r="E2490" s="13" t="s">
        <v>93</v>
      </c>
      <c r="F2490" s="13" t="s">
        <v>2142</v>
      </c>
      <c r="G2490" s="20" t="str">
        <f>HYPERLINK("http://semena-nn.ru/catalog/55/1283737","Фото")</f>
        <v>Фото</v>
      </c>
      <c r="H2490" s="18">
        <v>18.7</v>
      </c>
      <c r="I2490" s="27"/>
      <c r="J2490" s="13">
        <f>H2490*I2490</f>
        <v>0</v>
      </c>
    </row>
    <row r="2491" spans="1:10" ht="12" customHeight="1">
      <c r="A2491" s="13" t="s">
        <v>5681</v>
      </c>
      <c r="B2491" s="13" t="s">
        <v>5682</v>
      </c>
      <c r="C2491" s="13" t="s">
        <v>624</v>
      </c>
      <c r="D2491" s="13" t="s">
        <v>5136</v>
      </c>
      <c r="E2491" s="13" t="s">
        <v>93</v>
      </c>
      <c r="F2491" s="13" t="s">
        <v>5683</v>
      </c>
      <c r="G2491" s="20" t="str">
        <f>HYPERLINK("https://semena-nn.ru/catalog/57/888000000291","Фото")</f>
        <v>Фото</v>
      </c>
      <c r="H2491" s="15">
        <v>40</v>
      </c>
      <c r="I2491" s="27"/>
      <c r="J2491" s="13">
        <f>H2491*I2491</f>
        <v>0</v>
      </c>
    </row>
    <row r="2492" spans="1:10" ht="12" customHeight="1">
      <c r="A2492" s="13" t="s">
        <v>4528</v>
      </c>
      <c r="B2492" s="13" t="s">
        <v>4529</v>
      </c>
      <c r="C2492" s="13" t="s">
        <v>624</v>
      </c>
      <c r="D2492" s="13" t="s">
        <v>3475</v>
      </c>
      <c r="E2492" s="13" t="s">
        <v>93</v>
      </c>
      <c r="F2492" s="13" t="s">
        <v>4530</v>
      </c>
      <c r="G2492" s="20" t="str">
        <f>HYPERLINK("http://semena-nn.ru/catalog/57/1119622","Фото")</f>
        <v>Фото</v>
      </c>
      <c r="H2492" s="18">
        <v>37.5</v>
      </c>
      <c r="I2492" s="27"/>
      <c r="J2492" s="13">
        <f>H2492*I2492</f>
        <v>0</v>
      </c>
    </row>
    <row r="2493" spans="1:10" ht="12" customHeight="1">
      <c r="A2493" s="13" t="s">
        <v>5684</v>
      </c>
      <c r="B2493" s="13" t="s">
        <v>5685</v>
      </c>
      <c r="C2493" s="13" t="s">
        <v>624</v>
      </c>
      <c r="D2493" s="13" t="s">
        <v>5136</v>
      </c>
      <c r="E2493" s="13" t="s">
        <v>93</v>
      </c>
      <c r="F2493" s="13" t="s">
        <v>5686</v>
      </c>
      <c r="G2493" s="20" t="str">
        <f>HYPERLINK("https://semena-nn.ru/catalog/57/888000000292","Фото")</f>
        <v>Фото</v>
      </c>
      <c r="H2493" s="15">
        <v>63</v>
      </c>
      <c r="I2493" s="27"/>
      <c r="J2493" s="13">
        <f>H2493*I2493</f>
        <v>0</v>
      </c>
    </row>
    <row r="2494" spans="1:10" ht="12" customHeight="1">
      <c r="A2494" s="13" t="s">
        <v>5687</v>
      </c>
      <c r="B2494" s="13" t="s">
        <v>5688</v>
      </c>
      <c r="C2494" s="13" t="s">
        <v>624</v>
      </c>
      <c r="D2494" s="13" t="s">
        <v>5136</v>
      </c>
      <c r="E2494" s="13" t="s">
        <v>93</v>
      </c>
      <c r="F2494" s="13" t="s">
        <v>5689</v>
      </c>
      <c r="G2494" s="20" t="str">
        <f>HYPERLINK("https://semena-nn.ru/catalog/57/999000019934","Фото")</f>
        <v>Фото</v>
      </c>
      <c r="H2494" s="15">
        <v>40</v>
      </c>
      <c r="I2494" s="27"/>
      <c r="J2494" s="13">
        <f>H2494*I2494</f>
        <v>0</v>
      </c>
    </row>
    <row r="2495" spans="1:10" ht="12" customHeight="1">
      <c r="A2495" s="13" t="s">
        <v>5690</v>
      </c>
      <c r="B2495" s="13" t="s">
        <v>5691</v>
      </c>
      <c r="C2495" s="13" t="s">
        <v>624</v>
      </c>
      <c r="D2495" s="13" t="s">
        <v>5136</v>
      </c>
      <c r="E2495" s="13" t="s">
        <v>93</v>
      </c>
      <c r="F2495" s="13" t="s">
        <v>5692</v>
      </c>
      <c r="G2495" s="20" t="str">
        <f>HYPERLINK("https://semena-nn.ru/catalog/57/888000000293","Фото")</f>
        <v>Фото</v>
      </c>
      <c r="H2495" s="15">
        <v>65</v>
      </c>
      <c r="I2495" s="27"/>
      <c r="J2495" s="13">
        <f>H2495*I2495</f>
        <v>0</v>
      </c>
    </row>
    <row r="2496" spans="1:10" ht="12" customHeight="1">
      <c r="A2496" s="13" t="s">
        <v>2143</v>
      </c>
      <c r="B2496" s="13" t="s">
        <v>2144</v>
      </c>
      <c r="C2496" s="13" t="s">
        <v>605</v>
      </c>
      <c r="D2496" s="13" t="s">
        <v>697</v>
      </c>
      <c r="E2496" s="13" t="s">
        <v>93</v>
      </c>
      <c r="F2496" s="13" t="s">
        <v>2145</v>
      </c>
      <c r="G2496" s="20" t="str">
        <f>HYPERLINK("https://semena-nn.ru/catalog/55/94810","Фото")</f>
        <v>Фото</v>
      </c>
      <c r="H2496" s="18">
        <v>19.2</v>
      </c>
      <c r="I2496" s="27"/>
      <c r="J2496" s="13">
        <f>H2496*I2496</f>
        <v>0</v>
      </c>
    </row>
    <row r="2497" spans="1:10" ht="12" customHeight="1">
      <c r="A2497" s="13" t="s">
        <v>6719</v>
      </c>
      <c r="B2497" s="13" t="s">
        <v>6720</v>
      </c>
      <c r="C2497" s="13" t="s">
        <v>605</v>
      </c>
      <c r="D2497" s="13" t="s">
        <v>87</v>
      </c>
      <c r="E2497" s="13" t="s">
        <v>93</v>
      </c>
      <c r="F2497" s="13" t="s">
        <v>6721</v>
      </c>
      <c r="G2497" s="20" t="str">
        <f>HYPERLINK("https://semena-nn.ru/catalog/55/999000008427","Фото")</f>
        <v>Фото</v>
      </c>
      <c r="H2497" s="18">
        <v>31.5</v>
      </c>
      <c r="I2497" s="27"/>
      <c r="J2497" s="13">
        <f>H2497*I2497</f>
        <v>0</v>
      </c>
    </row>
    <row r="2498" spans="1:10" ht="12" customHeight="1">
      <c r="A2498" s="13" t="s">
        <v>2146</v>
      </c>
      <c r="B2498" s="13" t="s">
        <v>2147</v>
      </c>
      <c r="C2498" s="13" t="s">
        <v>605</v>
      </c>
      <c r="D2498" s="13" t="s">
        <v>697</v>
      </c>
      <c r="E2498" s="13" t="s">
        <v>93</v>
      </c>
      <c r="F2498" s="13" t="s">
        <v>2148</v>
      </c>
      <c r="G2498" s="20" t="str">
        <f>HYPERLINK("https://semena-nn.ru/catalog/55/999000009214","Фото")</f>
        <v>Фото</v>
      </c>
      <c r="H2498" s="18">
        <v>20.2</v>
      </c>
      <c r="I2498" s="27"/>
      <c r="J2498" s="13">
        <f>H2498*I2498</f>
        <v>0</v>
      </c>
    </row>
    <row r="2499" spans="1:10" ht="12" customHeight="1">
      <c r="A2499" s="13" t="s">
        <v>6722</v>
      </c>
      <c r="B2499" s="13" t="s">
        <v>6723</v>
      </c>
      <c r="C2499" s="13" t="s">
        <v>605</v>
      </c>
      <c r="D2499" s="13" t="s">
        <v>87</v>
      </c>
      <c r="E2499" s="13" t="s">
        <v>93</v>
      </c>
      <c r="F2499" s="13" t="s">
        <v>6724</v>
      </c>
      <c r="G2499" s="20" t="str">
        <f>HYPERLINK("http://semena-nn.ru/catalog/55/104942","Фото")</f>
        <v>Фото</v>
      </c>
      <c r="H2499" s="18">
        <v>18.399999999999999</v>
      </c>
      <c r="I2499" s="27"/>
      <c r="J2499" s="13">
        <f>H2499*I2499</f>
        <v>0</v>
      </c>
    </row>
    <row r="2500" spans="1:10" ht="12" customHeight="1">
      <c r="A2500" s="13" t="s">
        <v>4531</v>
      </c>
      <c r="B2500" s="13" t="s">
        <v>4532</v>
      </c>
      <c r="C2500" s="13" t="s">
        <v>605</v>
      </c>
      <c r="D2500" s="13" t="s">
        <v>3475</v>
      </c>
      <c r="E2500" s="13" t="s">
        <v>93</v>
      </c>
      <c r="F2500" s="13" t="s">
        <v>4533</v>
      </c>
      <c r="G2500" s="20" t="str">
        <f>HYPERLINK("https://semena-nn.ru/catalog/55/1125289","Фото")</f>
        <v>Фото</v>
      </c>
      <c r="H2500" s="19">
        <v>17.350000000000001</v>
      </c>
      <c r="I2500" s="27"/>
      <c r="J2500" s="13">
        <f>H2500*I2500</f>
        <v>0</v>
      </c>
    </row>
    <row r="2501" spans="1:10" ht="12" customHeight="1">
      <c r="A2501" s="13" t="s">
        <v>8968</v>
      </c>
      <c r="B2501" s="13" t="s">
        <v>8969</v>
      </c>
      <c r="C2501" s="13" t="s">
        <v>605</v>
      </c>
      <c r="D2501" s="13" t="s">
        <v>8717</v>
      </c>
      <c r="E2501" s="13" t="s">
        <v>93</v>
      </c>
      <c r="F2501" s="13" t="s">
        <v>8970</v>
      </c>
      <c r="G2501" s="20" t="str">
        <f>HYPERLINK("https://semena-nn.ru/catalog/55/999000020217","Фото")</f>
        <v>Фото</v>
      </c>
      <c r="H2501" s="19">
        <v>20.95</v>
      </c>
      <c r="I2501" s="27"/>
      <c r="J2501" s="13">
        <f>H2501*I2501</f>
        <v>0</v>
      </c>
    </row>
    <row r="2502" spans="1:10" ht="12" customHeight="1">
      <c r="A2502" s="13" t="s">
        <v>4534</v>
      </c>
      <c r="B2502" s="13" t="s">
        <v>4535</v>
      </c>
      <c r="C2502" s="13" t="s">
        <v>605</v>
      </c>
      <c r="D2502" s="13" t="s">
        <v>3475</v>
      </c>
      <c r="E2502" s="13" t="s">
        <v>93</v>
      </c>
      <c r="F2502" s="13" t="s">
        <v>4536</v>
      </c>
      <c r="G2502" s="20" t="str">
        <f>HYPERLINK("http://semena-nn.ru/catalog/55/1114533","Фото")</f>
        <v>Фото</v>
      </c>
      <c r="H2502" s="18">
        <v>18.7</v>
      </c>
      <c r="I2502" s="27"/>
      <c r="J2502" s="13">
        <f>H2502*I2502</f>
        <v>0</v>
      </c>
    </row>
    <row r="2503" spans="1:10" ht="12" customHeight="1">
      <c r="A2503" s="13" t="s">
        <v>2149</v>
      </c>
      <c r="B2503" s="13" t="s">
        <v>2150</v>
      </c>
      <c r="C2503" s="13" t="s">
        <v>605</v>
      </c>
      <c r="D2503" s="13" t="s">
        <v>697</v>
      </c>
      <c r="E2503" s="13" t="s">
        <v>93</v>
      </c>
      <c r="F2503" s="13" t="s">
        <v>2151</v>
      </c>
      <c r="G2503" s="20" t="str">
        <f>HYPERLINK("http://semena-nn.ru/catalog/55/1118527","Фото")</f>
        <v>Фото</v>
      </c>
      <c r="H2503" s="18">
        <v>19.100000000000001</v>
      </c>
      <c r="I2503" s="27"/>
      <c r="J2503" s="13">
        <f>H2503*I2503</f>
        <v>0</v>
      </c>
    </row>
    <row r="2504" spans="1:10" ht="12" customHeight="1">
      <c r="A2504" s="13" t="s">
        <v>2152</v>
      </c>
      <c r="B2504" s="13" t="s">
        <v>2153</v>
      </c>
      <c r="C2504" s="13" t="s">
        <v>605</v>
      </c>
      <c r="D2504" s="13" t="s">
        <v>697</v>
      </c>
      <c r="E2504" s="13" t="s">
        <v>93</v>
      </c>
      <c r="F2504" s="13" t="s">
        <v>2154</v>
      </c>
      <c r="G2504" s="20" t="str">
        <f>HYPERLINK("https://semena-nn.ru/catalog/55/103311","Фото")</f>
        <v>Фото</v>
      </c>
      <c r="H2504" s="18">
        <v>23.1</v>
      </c>
      <c r="I2504" s="27"/>
      <c r="J2504" s="13">
        <f>H2504*I2504</f>
        <v>0</v>
      </c>
    </row>
    <row r="2505" spans="1:10" ht="12" customHeight="1">
      <c r="A2505" s="13" t="s">
        <v>4537</v>
      </c>
      <c r="B2505" s="13" t="s">
        <v>4538</v>
      </c>
      <c r="C2505" s="13" t="s">
        <v>605</v>
      </c>
      <c r="D2505" s="13" t="s">
        <v>3475</v>
      </c>
      <c r="E2505" s="13" t="s">
        <v>93</v>
      </c>
      <c r="F2505" s="13" t="s">
        <v>4539</v>
      </c>
      <c r="G2505" s="20" t="str">
        <f>HYPERLINK("https://semena-nn.ru/catalog/55/1116829","Фото")</f>
        <v>Фото</v>
      </c>
      <c r="H2505" s="18">
        <v>18.7</v>
      </c>
      <c r="I2505" s="27"/>
      <c r="J2505" s="13">
        <f>H2505*I2505</f>
        <v>0</v>
      </c>
    </row>
    <row r="2506" spans="1:10" ht="12" customHeight="1">
      <c r="A2506" s="13" t="s">
        <v>4540</v>
      </c>
      <c r="B2506" s="13" t="s">
        <v>4541</v>
      </c>
      <c r="C2506" s="13" t="s">
        <v>671</v>
      </c>
      <c r="D2506" s="13" t="s">
        <v>3475</v>
      </c>
      <c r="E2506" s="13" t="s">
        <v>93</v>
      </c>
      <c r="F2506" s="13" t="s">
        <v>4542</v>
      </c>
      <c r="G2506" s="20" t="str">
        <f>HYPERLINK("https://semena-nn.ru/catalog/56/999000012254","Фото")</f>
        <v>Фото</v>
      </c>
      <c r="H2506" s="19">
        <v>24.25</v>
      </c>
      <c r="I2506" s="27"/>
      <c r="J2506" s="13">
        <f>H2506*I2506</f>
        <v>0</v>
      </c>
    </row>
    <row r="2507" spans="1:10" ht="12" customHeight="1">
      <c r="A2507" s="13" t="s">
        <v>2155</v>
      </c>
      <c r="B2507" s="13" t="s">
        <v>2156</v>
      </c>
      <c r="C2507" s="13" t="s">
        <v>671</v>
      </c>
      <c r="D2507" s="13" t="s">
        <v>697</v>
      </c>
      <c r="E2507" s="13" t="s">
        <v>93</v>
      </c>
      <c r="F2507" s="13" t="s">
        <v>2157</v>
      </c>
      <c r="G2507" s="20" t="str">
        <f>HYPERLINK("https://semena-nn.ru/catalog/56/888000000891","Фото")</f>
        <v>Фото</v>
      </c>
      <c r="H2507" s="19">
        <v>33.75</v>
      </c>
      <c r="I2507" s="27"/>
      <c r="J2507" s="13">
        <f>H2507*I2507</f>
        <v>0</v>
      </c>
    </row>
    <row r="2508" spans="1:10" ht="12" customHeight="1">
      <c r="A2508" s="13" t="s">
        <v>5693</v>
      </c>
      <c r="B2508" s="13" t="s">
        <v>5694</v>
      </c>
      <c r="C2508" s="13" t="s">
        <v>671</v>
      </c>
      <c r="D2508" s="13" t="s">
        <v>5136</v>
      </c>
      <c r="E2508" s="13" t="s">
        <v>93</v>
      </c>
      <c r="F2508" s="13" t="s">
        <v>5695</v>
      </c>
      <c r="G2508" s="20" t="str">
        <f>HYPERLINK("https://semena-nn.ru/catalog/56/999000013267","Фото")</f>
        <v>Фото</v>
      </c>
      <c r="H2508" s="18">
        <v>29.1</v>
      </c>
      <c r="I2508" s="27"/>
      <c r="J2508" s="13">
        <f>H2508*I2508</f>
        <v>0</v>
      </c>
    </row>
    <row r="2509" spans="1:10" ht="12" customHeight="1">
      <c r="A2509" s="13" t="s">
        <v>5696</v>
      </c>
      <c r="B2509" s="13" t="s">
        <v>5697</v>
      </c>
      <c r="C2509" s="13" t="s">
        <v>671</v>
      </c>
      <c r="D2509" s="13" t="s">
        <v>5136</v>
      </c>
      <c r="E2509" s="13" t="s">
        <v>93</v>
      </c>
      <c r="F2509" s="13" t="s">
        <v>5698</v>
      </c>
      <c r="G2509" s="20" t="str">
        <f>HYPERLINK("https://semena-nn.ru/catalog/56/888000000790","Фото")</f>
        <v>Фото</v>
      </c>
      <c r="H2509" s="15">
        <v>64</v>
      </c>
      <c r="I2509" s="27"/>
      <c r="J2509" s="13">
        <f>H2509*I2509</f>
        <v>0</v>
      </c>
    </row>
    <row r="2510" spans="1:10" ht="12" customHeight="1">
      <c r="A2510" s="13" t="s">
        <v>5699</v>
      </c>
      <c r="B2510" s="13" t="s">
        <v>5700</v>
      </c>
      <c r="C2510" s="13" t="s">
        <v>624</v>
      </c>
      <c r="D2510" s="13" t="s">
        <v>5136</v>
      </c>
      <c r="E2510" s="13" t="s">
        <v>93</v>
      </c>
      <c r="F2510" s="13" t="s">
        <v>5701</v>
      </c>
      <c r="G2510" s="20" t="str">
        <f>HYPERLINK("https://semena-nn.ru/catalog/57/999000019935","Фото")</f>
        <v>Фото</v>
      </c>
      <c r="H2510" s="15">
        <v>56</v>
      </c>
      <c r="I2510" s="27"/>
      <c r="J2510" s="13">
        <f>H2510*I2510</f>
        <v>0</v>
      </c>
    </row>
    <row r="2511" spans="1:10" ht="12" customHeight="1">
      <c r="A2511" s="13" t="s">
        <v>5702</v>
      </c>
      <c r="B2511" s="13" t="s">
        <v>5703</v>
      </c>
      <c r="C2511" s="13" t="s">
        <v>624</v>
      </c>
      <c r="D2511" s="13" t="s">
        <v>5136</v>
      </c>
      <c r="E2511" s="13" t="s">
        <v>93</v>
      </c>
      <c r="F2511" s="13" t="s">
        <v>5701</v>
      </c>
      <c r="G2511" s="20" t="str">
        <f>HYPERLINK("https://semena-nn.ru/catalog/57/888000000467","Фото")</f>
        <v>Фото</v>
      </c>
      <c r="H2511" s="15">
        <v>49</v>
      </c>
      <c r="I2511" s="27"/>
      <c r="J2511" s="13">
        <f>H2511*I2511</f>
        <v>0</v>
      </c>
    </row>
    <row r="2512" spans="1:10" ht="12" customHeight="1">
      <c r="A2512" s="13" t="s">
        <v>5704</v>
      </c>
      <c r="B2512" s="13" t="s">
        <v>5705</v>
      </c>
      <c r="C2512" s="13" t="s">
        <v>624</v>
      </c>
      <c r="D2512" s="13" t="s">
        <v>5136</v>
      </c>
      <c r="E2512" s="13" t="s">
        <v>93</v>
      </c>
      <c r="F2512" s="13" t="s">
        <v>5701</v>
      </c>
      <c r="G2512" s="20" t="str">
        <f>HYPERLINK("https://semena-nn.ru/catalog/57/888000000468","Фото")</f>
        <v>Фото</v>
      </c>
      <c r="H2512" s="15">
        <v>49</v>
      </c>
      <c r="I2512" s="27"/>
      <c r="J2512" s="13">
        <f>H2512*I2512</f>
        <v>0</v>
      </c>
    </row>
    <row r="2513" spans="1:10" ht="12" customHeight="1">
      <c r="A2513" s="13" t="s">
        <v>5706</v>
      </c>
      <c r="B2513" s="13" t="s">
        <v>5707</v>
      </c>
      <c r="C2513" s="13" t="s">
        <v>624</v>
      </c>
      <c r="D2513" s="13" t="s">
        <v>5136</v>
      </c>
      <c r="E2513" s="13" t="s">
        <v>93</v>
      </c>
      <c r="F2513" s="13" t="s">
        <v>5701</v>
      </c>
      <c r="G2513" s="20" t="str">
        <f>HYPERLINK("https://semena-nn.ru/catalog/57/888000000469","Фото")</f>
        <v>Фото</v>
      </c>
      <c r="H2513" s="15">
        <v>49</v>
      </c>
      <c r="I2513" s="27"/>
      <c r="J2513" s="13">
        <f>H2513*I2513</f>
        <v>0</v>
      </c>
    </row>
    <row r="2514" spans="1:10" ht="12" customHeight="1">
      <c r="A2514" s="13" t="s">
        <v>5708</v>
      </c>
      <c r="B2514" s="13" t="s">
        <v>5709</v>
      </c>
      <c r="C2514" s="13" t="s">
        <v>624</v>
      </c>
      <c r="D2514" s="13" t="s">
        <v>5136</v>
      </c>
      <c r="E2514" s="13" t="s">
        <v>93</v>
      </c>
      <c r="F2514" s="13" t="s">
        <v>5710</v>
      </c>
      <c r="G2514" s="20" t="str">
        <f>HYPERLINK("https://semena-nn.ru/catalog/57/999000019936","Фото")</f>
        <v>Фото</v>
      </c>
      <c r="H2514" s="15">
        <v>82</v>
      </c>
      <c r="I2514" s="27"/>
      <c r="J2514" s="13">
        <f>H2514*I2514</f>
        <v>0</v>
      </c>
    </row>
    <row r="2515" spans="1:10" ht="12" customHeight="1">
      <c r="A2515" s="13" t="s">
        <v>5711</v>
      </c>
      <c r="B2515" s="13" t="s">
        <v>5712</v>
      </c>
      <c r="C2515" s="13" t="s">
        <v>624</v>
      </c>
      <c r="D2515" s="13" t="s">
        <v>5136</v>
      </c>
      <c r="E2515" s="13" t="s">
        <v>93</v>
      </c>
      <c r="F2515" s="13" t="s">
        <v>5710</v>
      </c>
      <c r="G2515" s="20" t="str">
        <f>HYPERLINK("https://semena-nn.ru/catalog/57/999000019937","Фото")</f>
        <v>Фото</v>
      </c>
      <c r="H2515" s="15">
        <v>82</v>
      </c>
      <c r="I2515" s="27"/>
      <c r="J2515" s="13">
        <f>H2515*I2515</f>
        <v>0</v>
      </c>
    </row>
    <row r="2516" spans="1:10" ht="12" customHeight="1">
      <c r="A2516" s="13" t="s">
        <v>5713</v>
      </c>
      <c r="B2516" s="13" t="s">
        <v>5714</v>
      </c>
      <c r="C2516" s="13" t="s">
        <v>624</v>
      </c>
      <c r="D2516" s="13" t="s">
        <v>5136</v>
      </c>
      <c r="E2516" s="13" t="s">
        <v>93</v>
      </c>
      <c r="F2516" s="13" t="s">
        <v>5715</v>
      </c>
      <c r="G2516" s="20" t="str">
        <f>HYPERLINK("https://semena-nn.ru/catalog/57/999000019938","Фото")</f>
        <v>Фото</v>
      </c>
      <c r="H2516" s="19">
        <v>99.75</v>
      </c>
      <c r="I2516" s="27"/>
      <c r="J2516" s="13">
        <f>H2516*I2516</f>
        <v>0</v>
      </c>
    </row>
    <row r="2517" spans="1:10" ht="12" customHeight="1">
      <c r="A2517" s="13" t="s">
        <v>5716</v>
      </c>
      <c r="B2517" s="13" t="s">
        <v>5717</v>
      </c>
      <c r="C2517" s="13" t="s">
        <v>624</v>
      </c>
      <c r="D2517" s="13" t="s">
        <v>5136</v>
      </c>
      <c r="E2517" s="13" t="s">
        <v>93</v>
      </c>
      <c r="F2517" s="13" t="s">
        <v>5715</v>
      </c>
      <c r="G2517" s="20" t="str">
        <f>HYPERLINK("https://semena-nn.ru/catalog/57/999000019939","Фото")</f>
        <v>Фото</v>
      </c>
      <c r="H2517" s="19">
        <v>99.75</v>
      </c>
      <c r="I2517" s="27"/>
      <c r="J2517" s="13">
        <f>H2517*I2517</f>
        <v>0</v>
      </c>
    </row>
    <row r="2518" spans="1:10" ht="12" customHeight="1">
      <c r="A2518" s="13" t="s">
        <v>5718</v>
      </c>
      <c r="B2518" s="13" t="s">
        <v>5719</v>
      </c>
      <c r="C2518" s="13" t="s">
        <v>624</v>
      </c>
      <c r="D2518" s="13" t="s">
        <v>5136</v>
      </c>
      <c r="E2518" s="13" t="s">
        <v>93</v>
      </c>
      <c r="F2518" s="13" t="s">
        <v>5715</v>
      </c>
      <c r="G2518" s="20" t="str">
        <f>HYPERLINK("https://semena-nn.ru/catalog/57/999000019940","Фото")</f>
        <v>Фото</v>
      </c>
      <c r="H2518" s="19">
        <v>99.75</v>
      </c>
      <c r="I2518" s="27"/>
      <c r="J2518" s="13">
        <f>H2518*I2518</f>
        <v>0</v>
      </c>
    </row>
    <row r="2519" spans="1:10" ht="12" customHeight="1">
      <c r="A2519" s="13" t="s">
        <v>6725</v>
      </c>
      <c r="B2519" s="13" t="s">
        <v>6726</v>
      </c>
      <c r="C2519" s="13" t="s">
        <v>624</v>
      </c>
      <c r="D2519" s="13" t="s">
        <v>87</v>
      </c>
      <c r="E2519" s="13" t="s">
        <v>93</v>
      </c>
      <c r="F2519" s="13" t="s">
        <v>6727</v>
      </c>
      <c r="G2519" s="20" t="str">
        <f>HYPERLINK("https://semena-nn.ru/catalog/57/999000008429","Фото")</f>
        <v>Фото</v>
      </c>
      <c r="H2519" s="18">
        <v>44.1</v>
      </c>
      <c r="I2519" s="27"/>
      <c r="J2519" s="13">
        <f>H2519*I2519</f>
        <v>0</v>
      </c>
    </row>
    <row r="2520" spans="1:10" ht="12" customHeight="1">
      <c r="A2520" s="13" t="s">
        <v>6728</v>
      </c>
      <c r="B2520" s="13" t="s">
        <v>6729</v>
      </c>
      <c r="C2520" s="13" t="s">
        <v>624</v>
      </c>
      <c r="D2520" s="13" t="s">
        <v>87</v>
      </c>
      <c r="E2520" s="13" t="s">
        <v>93</v>
      </c>
      <c r="F2520" s="13" t="s">
        <v>6730</v>
      </c>
      <c r="G2520" s="20" t="str">
        <f>HYPERLINK("https://semena-nn.ru/catalog/57/999000011918","Фото")</f>
        <v>Фото</v>
      </c>
      <c r="H2520" s="15">
        <v>42</v>
      </c>
      <c r="I2520" s="27"/>
      <c r="J2520" s="13">
        <f>H2520*I2520</f>
        <v>0</v>
      </c>
    </row>
    <row r="2521" spans="1:10" ht="12" customHeight="1">
      <c r="A2521" s="13" t="s">
        <v>4543</v>
      </c>
      <c r="B2521" s="13" t="s">
        <v>4544</v>
      </c>
      <c r="C2521" s="13" t="s">
        <v>624</v>
      </c>
      <c r="D2521" s="13" t="s">
        <v>3475</v>
      </c>
      <c r="E2521" s="13" t="s">
        <v>93</v>
      </c>
      <c r="F2521" s="13" t="s">
        <v>4545</v>
      </c>
      <c r="G2521" s="20" t="str">
        <f>HYPERLINK("http://semena-nn.ru/catalog/57/999000006565","Фото")</f>
        <v>Фото</v>
      </c>
      <c r="H2521" s="19">
        <v>34.65</v>
      </c>
      <c r="I2521" s="27"/>
      <c r="J2521" s="13">
        <f>H2521*I2521</f>
        <v>0</v>
      </c>
    </row>
    <row r="2522" spans="1:10" ht="12" customHeight="1">
      <c r="A2522" s="13" t="s">
        <v>6731</v>
      </c>
      <c r="B2522" s="13" t="s">
        <v>6732</v>
      </c>
      <c r="C2522" s="13" t="s">
        <v>624</v>
      </c>
      <c r="D2522" s="13" t="s">
        <v>87</v>
      </c>
      <c r="E2522" s="13" t="s">
        <v>93</v>
      </c>
      <c r="F2522" s="13" t="s">
        <v>6733</v>
      </c>
      <c r="G2522" s="20" t="str">
        <f>HYPERLINK("https://semena-nn.ru/catalog/57/999000011920","Фото")</f>
        <v>Фото</v>
      </c>
      <c r="H2522" s="19">
        <v>26.25</v>
      </c>
      <c r="I2522" s="27"/>
      <c r="J2522" s="13">
        <f>H2522*I2522</f>
        <v>0</v>
      </c>
    </row>
    <row r="2523" spans="1:10" ht="12" customHeight="1">
      <c r="A2523" s="13" t="s">
        <v>6734</v>
      </c>
      <c r="B2523" s="13" t="s">
        <v>6735</v>
      </c>
      <c r="C2523" s="13" t="s">
        <v>624</v>
      </c>
      <c r="D2523" s="13" t="s">
        <v>87</v>
      </c>
      <c r="E2523" s="13" t="s">
        <v>93</v>
      </c>
      <c r="F2523" s="13" t="s">
        <v>6736</v>
      </c>
      <c r="G2523" s="20" t="str">
        <f>HYPERLINK("https://semena-nn.ru/catalog/57/999000013040","Фото")</f>
        <v>Фото</v>
      </c>
      <c r="H2523" s="18">
        <v>29.4</v>
      </c>
      <c r="I2523" s="27"/>
      <c r="J2523" s="13">
        <f>H2523*I2523</f>
        <v>0</v>
      </c>
    </row>
    <row r="2524" spans="1:10" ht="12" customHeight="1">
      <c r="A2524" s="13" t="s">
        <v>5720</v>
      </c>
      <c r="B2524" s="13" t="s">
        <v>5721</v>
      </c>
      <c r="C2524" s="13" t="s">
        <v>624</v>
      </c>
      <c r="D2524" s="13" t="s">
        <v>5136</v>
      </c>
      <c r="E2524" s="13" t="s">
        <v>93</v>
      </c>
      <c r="F2524" s="13" t="s">
        <v>5715</v>
      </c>
      <c r="G2524" s="20" t="str">
        <f>HYPERLINK("https://semena-nn.ru/catalog/57/999000019941","Фото")</f>
        <v>Фото</v>
      </c>
      <c r="H2524" s="18">
        <v>106.9</v>
      </c>
      <c r="I2524" s="27"/>
      <c r="J2524" s="13">
        <f>H2524*I2524</f>
        <v>0</v>
      </c>
    </row>
    <row r="2525" spans="1:10" ht="12" customHeight="1">
      <c r="A2525" s="13" t="s">
        <v>4546</v>
      </c>
      <c r="B2525" s="13" t="s">
        <v>4547</v>
      </c>
      <c r="C2525" s="13" t="s">
        <v>605</v>
      </c>
      <c r="D2525" s="13" t="s">
        <v>3475</v>
      </c>
      <c r="E2525" s="13" t="s">
        <v>93</v>
      </c>
      <c r="F2525" s="13" t="s">
        <v>4548</v>
      </c>
      <c r="G2525" s="20" t="str">
        <f>HYPERLINK("https://semena-nn.ru/catalog/55/999000001772","Фото")</f>
        <v>Фото</v>
      </c>
      <c r="H2525" s="18">
        <v>18.7</v>
      </c>
      <c r="I2525" s="27"/>
      <c r="J2525" s="13">
        <f>H2525*I2525</f>
        <v>0</v>
      </c>
    </row>
    <row r="2526" spans="1:10" ht="12" customHeight="1">
      <c r="A2526" s="13" t="s">
        <v>4549</v>
      </c>
      <c r="B2526" s="13" t="s">
        <v>4550</v>
      </c>
      <c r="C2526" s="13" t="s">
        <v>605</v>
      </c>
      <c r="D2526" s="13" t="s">
        <v>3475</v>
      </c>
      <c r="E2526" s="13" t="s">
        <v>93</v>
      </c>
      <c r="F2526" s="13" t="s">
        <v>4551</v>
      </c>
      <c r="G2526" s="20" t="str">
        <f>HYPERLINK("http://semena-nn.ru/catalog/55/113765","Фото")</f>
        <v>Фото</v>
      </c>
      <c r="H2526" s="18">
        <v>30.9</v>
      </c>
      <c r="I2526" s="27"/>
      <c r="J2526" s="13">
        <f>H2526*I2526</f>
        <v>0</v>
      </c>
    </row>
    <row r="2527" spans="1:10" ht="12" customHeight="1">
      <c r="A2527" s="13" t="s">
        <v>4552</v>
      </c>
      <c r="B2527" s="13" t="s">
        <v>4553</v>
      </c>
      <c r="C2527" s="13" t="s">
        <v>605</v>
      </c>
      <c r="D2527" s="13" t="s">
        <v>3475</v>
      </c>
      <c r="E2527" s="13" t="s">
        <v>93</v>
      </c>
      <c r="F2527" s="13" t="s">
        <v>4554</v>
      </c>
      <c r="G2527" s="20" t="str">
        <f>HYPERLINK("http://semena-nn.ru/catalog/55/1125180","Фото")</f>
        <v>Фото</v>
      </c>
      <c r="H2527" s="18">
        <v>45.2</v>
      </c>
      <c r="I2527" s="27"/>
      <c r="J2527" s="13">
        <f>H2527*I2527</f>
        <v>0</v>
      </c>
    </row>
    <row r="2528" spans="1:10" ht="12" customHeight="1">
      <c r="A2528" s="13" t="s">
        <v>4555</v>
      </c>
      <c r="B2528" s="13" t="s">
        <v>4556</v>
      </c>
      <c r="C2528" s="13" t="s">
        <v>605</v>
      </c>
      <c r="D2528" s="13" t="s">
        <v>3475</v>
      </c>
      <c r="E2528" s="13" t="s">
        <v>93</v>
      </c>
      <c r="F2528" s="13" t="s">
        <v>4557</v>
      </c>
      <c r="G2528" s="20" t="str">
        <f>HYPERLINK("http://semena-nn.ru/catalog/55/1126619","Фото")</f>
        <v>Фото</v>
      </c>
      <c r="H2528" s="18">
        <v>45.2</v>
      </c>
      <c r="I2528" s="27"/>
      <c r="J2528" s="13">
        <f>H2528*I2528</f>
        <v>0</v>
      </c>
    </row>
    <row r="2529" spans="1:10" ht="12" customHeight="1">
      <c r="A2529" s="13" t="s">
        <v>2158</v>
      </c>
      <c r="B2529" s="13" t="s">
        <v>2159</v>
      </c>
      <c r="C2529" s="13" t="s">
        <v>671</v>
      </c>
      <c r="D2529" s="13" t="s">
        <v>697</v>
      </c>
      <c r="E2529" s="13" t="s">
        <v>93</v>
      </c>
      <c r="F2529" s="13" t="s">
        <v>2160</v>
      </c>
      <c r="G2529" s="20" t="str">
        <f>HYPERLINK("https://semena-nn.ru/catalog/56/108938","Фото")</f>
        <v>Фото</v>
      </c>
      <c r="H2529" s="19">
        <v>29.45</v>
      </c>
      <c r="I2529" s="27"/>
      <c r="J2529" s="13">
        <f>H2529*I2529</f>
        <v>0</v>
      </c>
    </row>
    <row r="2530" spans="1:10" ht="12" customHeight="1">
      <c r="A2530" s="13" t="s">
        <v>6418</v>
      </c>
      <c r="B2530" s="13" t="s">
        <v>6419</v>
      </c>
      <c r="C2530" s="13" t="s">
        <v>671</v>
      </c>
      <c r="D2530" s="13" t="s">
        <v>6407</v>
      </c>
      <c r="E2530" s="13" t="s">
        <v>93</v>
      </c>
      <c r="F2530" s="13" t="s">
        <v>6420</v>
      </c>
      <c r="G2530" s="20" t="str">
        <f>HYPERLINK("https://semena-nn.ru/catalog/56/999000013395","Фото")</f>
        <v>Фото</v>
      </c>
      <c r="H2530" s="19">
        <v>21.53</v>
      </c>
      <c r="I2530" s="27"/>
      <c r="J2530" s="13">
        <f>H2530*I2530</f>
        <v>0</v>
      </c>
    </row>
    <row r="2531" spans="1:10" ht="12" customHeight="1">
      <c r="A2531" s="13" t="s">
        <v>2161</v>
      </c>
      <c r="B2531" s="13" t="s">
        <v>2162</v>
      </c>
      <c r="C2531" s="13" t="s">
        <v>624</v>
      </c>
      <c r="D2531" s="13" t="s">
        <v>697</v>
      </c>
      <c r="E2531" s="13" t="s">
        <v>93</v>
      </c>
      <c r="F2531" s="13" t="s">
        <v>2163</v>
      </c>
      <c r="G2531" s="20" t="str">
        <f>HYPERLINK("https://semena-nn.ru/catalog/57/1303590","Фото")</f>
        <v>Фото</v>
      </c>
      <c r="H2531" s="19">
        <v>32.15</v>
      </c>
      <c r="I2531" s="27"/>
      <c r="J2531" s="13">
        <f>H2531*I2531</f>
        <v>0</v>
      </c>
    </row>
    <row r="2532" spans="1:10" ht="12" customHeight="1">
      <c r="A2532" s="13" t="s">
        <v>2164</v>
      </c>
      <c r="B2532" s="13" t="s">
        <v>2165</v>
      </c>
      <c r="C2532" s="13" t="s">
        <v>624</v>
      </c>
      <c r="D2532" s="13" t="s">
        <v>697</v>
      </c>
      <c r="E2532" s="13" t="s">
        <v>93</v>
      </c>
      <c r="F2532" s="13" t="s">
        <v>2166</v>
      </c>
      <c r="G2532" s="20" t="str">
        <f>HYPERLINK("https://semena-nn.ru/catalog/57/999000013057","Фото")</f>
        <v>Фото</v>
      </c>
      <c r="H2532" s="19">
        <v>32.15</v>
      </c>
      <c r="I2532" s="27"/>
      <c r="J2532" s="13">
        <f>H2532*I2532</f>
        <v>0</v>
      </c>
    </row>
    <row r="2533" spans="1:10" ht="12" customHeight="1">
      <c r="A2533" s="13" t="s">
        <v>4558</v>
      </c>
      <c r="B2533" s="13" t="s">
        <v>4559</v>
      </c>
      <c r="C2533" s="13" t="s">
        <v>624</v>
      </c>
      <c r="D2533" s="13" t="s">
        <v>3475</v>
      </c>
      <c r="E2533" s="13" t="s">
        <v>93</v>
      </c>
      <c r="F2533" s="13" t="s">
        <v>4560</v>
      </c>
      <c r="G2533" s="20" t="str">
        <f>HYPERLINK("https://semena-nn.ru/catalog/57/1308392","Фото")</f>
        <v>Фото</v>
      </c>
      <c r="H2533" s="19">
        <v>22.05</v>
      </c>
      <c r="I2533" s="27"/>
      <c r="J2533" s="13">
        <f>H2533*I2533</f>
        <v>0</v>
      </c>
    </row>
    <row r="2534" spans="1:10" ht="12" customHeight="1">
      <c r="A2534" s="13" t="s">
        <v>2167</v>
      </c>
      <c r="B2534" s="13" t="s">
        <v>2168</v>
      </c>
      <c r="C2534" s="13" t="s">
        <v>624</v>
      </c>
      <c r="D2534" s="13" t="s">
        <v>697</v>
      </c>
      <c r="E2534" s="13" t="s">
        <v>93</v>
      </c>
      <c r="F2534" s="13" t="s">
        <v>2169</v>
      </c>
      <c r="G2534" s="20" t="str">
        <f>HYPERLINK("https://semena-nn.ru/catalog/57/1122823","Фото")</f>
        <v>Фото</v>
      </c>
      <c r="H2534" s="19">
        <v>32.15</v>
      </c>
      <c r="I2534" s="27"/>
      <c r="J2534" s="13">
        <f>H2534*I2534</f>
        <v>0</v>
      </c>
    </row>
    <row r="2535" spans="1:10" ht="12" customHeight="1">
      <c r="A2535" s="13" t="s">
        <v>2170</v>
      </c>
      <c r="B2535" s="13" t="s">
        <v>2171</v>
      </c>
      <c r="C2535" s="13" t="s">
        <v>624</v>
      </c>
      <c r="D2535" s="13" t="s">
        <v>697</v>
      </c>
      <c r="E2535" s="13" t="s">
        <v>93</v>
      </c>
      <c r="F2535" s="13" t="s">
        <v>2172</v>
      </c>
      <c r="G2535" s="20" t="str">
        <f>HYPERLINK("https://semena-nn.ru/catalog/57/1303589","Фото")</f>
        <v>Фото</v>
      </c>
      <c r="H2535" s="19">
        <v>32.15</v>
      </c>
      <c r="I2535" s="27"/>
      <c r="J2535" s="13">
        <f>H2535*I2535</f>
        <v>0</v>
      </c>
    </row>
    <row r="2536" spans="1:10" ht="12" customHeight="1">
      <c r="A2536" s="13" t="s">
        <v>4561</v>
      </c>
      <c r="B2536" s="13" t="s">
        <v>4562</v>
      </c>
      <c r="C2536" s="13" t="s">
        <v>624</v>
      </c>
      <c r="D2536" s="13" t="s">
        <v>3475</v>
      </c>
      <c r="E2536" s="13" t="s">
        <v>93</v>
      </c>
      <c r="F2536" s="13" t="s">
        <v>4563</v>
      </c>
      <c r="G2536" s="20" t="str">
        <f>HYPERLINK("https://semena-nn.ru/catalog/57/999000012295","Фото")</f>
        <v>Фото</v>
      </c>
      <c r="H2536" s="18">
        <v>18.7</v>
      </c>
      <c r="I2536" s="27"/>
      <c r="J2536" s="13">
        <f>H2536*I2536</f>
        <v>0</v>
      </c>
    </row>
    <row r="2537" spans="1:10" ht="12" customHeight="1">
      <c r="A2537" s="13" t="s">
        <v>2173</v>
      </c>
      <c r="B2537" s="13" t="s">
        <v>2174</v>
      </c>
      <c r="C2537" s="13" t="s">
        <v>624</v>
      </c>
      <c r="D2537" s="13" t="s">
        <v>697</v>
      </c>
      <c r="E2537" s="13" t="s">
        <v>93</v>
      </c>
      <c r="F2537" s="13" t="s">
        <v>2175</v>
      </c>
      <c r="G2537" s="20" t="str">
        <f>HYPERLINK("https://semena-nn.ru/catalog/57/999000013058","Фото")</f>
        <v>Фото</v>
      </c>
      <c r="H2537" s="19">
        <v>32.15</v>
      </c>
      <c r="I2537" s="27"/>
      <c r="J2537" s="13">
        <f>H2537*I2537</f>
        <v>0</v>
      </c>
    </row>
    <row r="2538" spans="1:10" ht="12" customHeight="1">
      <c r="A2538" s="13" t="s">
        <v>2176</v>
      </c>
      <c r="B2538" s="13" t="s">
        <v>2177</v>
      </c>
      <c r="C2538" s="13" t="s">
        <v>671</v>
      </c>
      <c r="D2538" s="13" t="s">
        <v>697</v>
      </c>
      <c r="E2538" s="13" t="s">
        <v>93</v>
      </c>
      <c r="F2538" s="13" t="s">
        <v>2178</v>
      </c>
      <c r="G2538" s="20" t="str">
        <f>HYPERLINK("https://semena-nn.ru/catalog/56/999000001834","Фото")</f>
        <v>Фото</v>
      </c>
      <c r="H2538" s="18">
        <v>18.7</v>
      </c>
      <c r="I2538" s="27"/>
      <c r="J2538" s="13">
        <f>H2538*I2538</f>
        <v>0</v>
      </c>
    </row>
    <row r="2539" spans="1:10" ht="12" customHeight="1">
      <c r="A2539" s="13" t="s">
        <v>2179</v>
      </c>
      <c r="B2539" s="13" t="s">
        <v>2180</v>
      </c>
      <c r="C2539" s="13" t="s">
        <v>605</v>
      </c>
      <c r="D2539" s="13" t="s">
        <v>697</v>
      </c>
      <c r="E2539" s="13" t="s">
        <v>93</v>
      </c>
      <c r="F2539" s="13" t="s">
        <v>2181</v>
      </c>
      <c r="G2539" s="20" t="str">
        <f>HYPERLINK("http://semena-nn.ru/catalog/55/1298517","Фото")</f>
        <v>Фото</v>
      </c>
      <c r="H2539" s="15">
        <v>21</v>
      </c>
      <c r="I2539" s="27"/>
      <c r="J2539" s="13">
        <f>H2539*I2539</f>
        <v>0</v>
      </c>
    </row>
    <row r="2540" spans="1:10" ht="12" customHeight="1">
      <c r="A2540" s="13" t="s">
        <v>4564</v>
      </c>
      <c r="B2540" s="13" t="s">
        <v>4565</v>
      </c>
      <c r="C2540" s="13" t="s">
        <v>605</v>
      </c>
      <c r="D2540" s="13" t="s">
        <v>3475</v>
      </c>
      <c r="E2540" s="13" t="s">
        <v>93</v>
      </c>
      <c r="F2540" s="13" t="s">
        <v>4566</v>
      </c>
      <c r="G2540" s="20" t="str">
        <f>HYPERLINK("https://semena-nn.ru/catalog/55/888000007613","Фото")</f>
        <v>Фото</v>
      </c>
      <c r="H2540" s="19">
        <v>23.15</v>
      </c>
      <c r="I2540" s="27"/>
      <c r="J2540" s="13">
        <f>H2540*I2540</f>
        <v>0</v>
      </c>
    </row>
    <row r="2541" spans="1:10" ht="12" customHeight="1">
      <c r="A2541" s="13" t="s">
        <v>6737</v>
      </c>
      <c r="B2541" s="13" t="s">
        <v>6738</v>
      </c>
      <c r="C2541" s="13" t="s">
        <v>605</v>
      </c>
      <c r="D2541" s="13" t="s">
        <v>87</v>
      </c>
      <c r="E2541" s="13" t="s">
        <v>93</v>
      </c>
      <c r="F2541" s="13" t="s">
        <v>6739</v>
      </c>
      <c r="G2541" s="20" t="str">
        <f>HYPERLINK("https://semena-nn.ru/catalog/55/100401","Фото")</f>
        <v>Фото</v>
      </c>
      <c r="H2541" s="19">
        <v>22.05</v>
      </c>
      <c r="I2541" s="27"/>
      <c r="J2541" s="13">
        <f>H2541*I2541</f>
        <v>0</v>
      </c>
    </row>
    <row r="2542" spans="1:10" ht="12" customHeight="1">
      <c r="A2542" s="13" t="s">
        <v>4567</v>
      </c>
      <c r="B2542" s="13" t="s">
        <v>4568</v>
      </c>
      <c r="C2542" s="13" t="s">
        <v>605</v>
      </c>
      <c r="D2542" s="13" t="s">
        <v>3475</v>
      </c>
      <c r="E2542" s="13" t="s">
        <v>93</v>
      </c>
      <c r="F2542" s="13" t="s">
        <v>4569</v>
      </c>
      <c r="G2542" s="20" t="str">
        <f>HYPERLINK("https://semena-nn.ru/catalog/55/888000000408","Фото")</f>
        <v>Фото</v>
      </c>
      <c r="H2542" s="18">
        <v>24.7</v>
      </c>
      <c r="I2542" s="27"/>
      <c r="J2542" s="13">
        <f>H2542*I2542</f>
        <v>0</v>
      </c>
    </row>
    <row r="2543" spans="1:10" ht="12" customHeight="1">
      <c r="A2543" s="13" t="s">
        <v>2182</v>
      </c>
      <c r="B2543" s="13" t="s">
        <v>2183</v>
      </c>
      <c r="C2543" s="13" t="s">
        <v>605</v>
      </c>
      <c r="D2543" s="13" t="s">
        <v>697</v>
      </c>
      <c r="E2543" s="13" t="s">
        <v>93</v>
      </c>
      <c r="F2543" s="13" t="s">
        <v>2184</v>
      </c>
      <c r="G2543" s="20" t="str">
        <f>HYPERLINK("https://semena-nn.ru/catalog/55/999000013140","Фото")</f>
        <v>Фото</v>
      </c>
      <c r="H2543" s="18">
        <v>18.7</v>
      </c>
      <c r="I2543" s="27"/>
      <c r="J2543" s="13">
        <f>H2543*I2543</f>
        <v>0</v>
      </c>
    </row>
    <row r="2544" spans="1:10" ht="12" customHeight="1">
      <c r="A2544" s="13" t="s">
        <v>2185</v>
      </c>
      <c r="B2544" s="13" t="s">
        <v>2186</v>
      </c>
      <c r="C2544" s="13" t="s">
        <v>605</v>
      </c>
      <c r="D2544" s="13" t="s">
        <v>697</v>
      </c>
      <c r="E2544" s="13" t="s">
        <v>93</v>
      </c>
      <c r="F2544" s="13" t="s">
        <v>2187</v>
      </c>
      <c r="G2544" s="20" t="str">
        <f>HYPERLINK("http://semena-nn.ru/catalog/55/1122782","Фото")</f>
        <v>Фото</v>
      </c>
      <c r="H2544" s="18">
        <v>18.7</v>
      </c>
      <c r="I2544" s="27"/>
      <c r="J2544" s="13">
        <f>H2544*I2544</f>
        <v>0</v>
      </c>
    </row>
    <row r="2545" spans="1:10" ht="12" customHeight="1">
      <c r="A2545" s="13" t="s">
        <v>5722</v>
      </c>
      <c r="B2545" s="13" t="s">
        <v>5723</v>
      </c>
      <c r="C2545" s="13" t="s">
        <v>671</v>
      </c>
      <c r="D2545" s="13" t="s">
        <v>5136</v>
      </c>
      <c r="E2545" s="13" t="s">
        <v>93</v>
      </c>
      <c r="F2545" s="13" t="s">
        <v>5724</v>
      </c>
      <c r="G2545" s="20" t="str">
        <f>HYPERLINK("https://semena-nn.ru/catalog/56/999000019942","Фото")</f>
        <v>Фото</v>
      </c>
      <c r="H2545" s="15">
        <v>75</v>
      </c>
      <c r="I2545" s="27"/>
      <c r="J2545" s="13">
        <f>H2545*I2545</f>
        <v>0</v>
      </c>
    </row>
    <row r="2546" spans="1:10" ht="12" customHeight="1">
      <c r="A2546" s="13" t="s">
        <v>4570</v>
      </c>
      <c r="B2546" s="13" t="s">
        <v>4571</v>
      </c>
      <c r="C2546" s="13" t="s">
        <v>605</v>
      </c>
      <c r="D2546" s="13" t="s">
        <v>3475</v>
      </c>
      <c r="E2546" s="13" t="s">
        <v>93</v>
      </c>
      <c r="F2546" s="13" t="s">
        <v>4572</v>
      </c>
      <c r="G2546" s="20" t="str">
        <f>HYPERLINK("https://semena-nn.ru/catalog/55/1125299","Фото")</f>
        <v>Фото</v>
      </c>
      <c r="H2546" s="18">
        <v>17.399999999999999</v>
      </c>
      <c r="I2546" s="27"/>
      <c r="J2546" s="13">
        <f>H2546*I2546</f>
        <v>0</v>
      </c>
    </row>
    <row r="2547" spans="1:10" ht="12" customHeight="1">
      <c r="A2547" s="13" t="s">
        <v>2188</v>
      </c>
      <c r="B2547" s="13" t="s">
        <v>2189</v>
      </c>
      <c r="C2547" s="13" t="s">
        <v>605</v>
      </c>
      <c r="D2547" s="13" t="s">
        <v>697</v>
      </c>
      <c r="E2547" s="13" t="s">
        <v>93</v>
      </c>
      <c r="F2547" s="13" t="s">
        <v>2190</v>
      </c>
      <c r="G2547" s="20" t="str">
        <f>HYPERLINK("https://semena-nn.ru/catalog/55/1287513","Фото")</f>
        <v>Фото</v>
      </c>
      <c r="H2547" s="19">
        <v>20.350000000000001</v>
      </c>
      <c r="I2547" s="27"/>
      <c r="J2547" s="13">
        <f>H2547*I2547</f>
        <v>0</v>
      </c>
    </row>
    <row r="2548" spans="1:10" ht="12" customHeight="1">
      <c r="A2548" s="13" t="s">
        <v>5725</v>
      </c>
      <c r="B2548" s="13" t="s">
        <v>5726</v>
      </c>
      <c r="C2548" s="13" t="s">
        <v>671</v>
      </c>
      <c r="D2548" s="13" t="s">
        <v>5136</v>
      </c>
      <c r="E2548" s="13" t="s">
        <v>93</v>
      </c>
      <c r="F2548" s="13" t="s">
        <v>5727</v>
      </c>
      <c r="G2548" s="20" t="str">
        <f>HYPERLINK("https://semena-nn.ru/catalog/56/999000013269","Фото")</f>
        <v>Фото</v>
      </c>
      <c r="H2548" s="15">
        <v>158</v>
      </c>
      <c r="I2548" s="27"/>
      <c r="J2548" s="13">
        <f>H2548*I2548</f>
        <v>0</v>
      </c>
    </row>
    <row r="2549" spans="1:10" ht="12" customHeight="1">
      <c r="A2549" s="13" t="s">
        <v>4573</v>
      </c>
      <c r="B2549" s="13" t="s">
        <v>4574</v>
      </c>
      <c r="C2549" s="13" t="s">
        <v>605</v>
      </c>
      <c r="D2549" s="13" t="s">
        <v>3475</v>
      </c>
      <c r="E2549" s="13" t="s">
        <v>93</v>
      </c>
      <c r="F2549" s="13" t="s">
        <v>4575</v>
      </c>
      <c r="G2549" s="20" t="str">
        <f>HYPERLINK("http://semena-nn.ru/catalog/55/113416","Фото")</f>
        <v>Фото</v>
      </c>
      <c r="H2549" s="18">
        <v>18.7</v>
      </c>
      <c r="I2549" s="27"/>
      <c r="J2549" s="13">
        <f>H2549*I2549</f>
        <v>0</v>
      </c>
    </row>
    <row r="2550" spans="1:10" ht="12" customHeight="1">
      <c r="A2550" s="13" t="s">
        <v>4576</v>
      </c>
      <c r="B2550" s="13" t="s">
        <v>4577</v>
      </c>
      <c r="C2550" s="13" t="s">
        <v>605</v>
      </c>
      <c r="D2550" s="13" t="s">
        <v>3475</v>
      </c>
      <c r="E2550" s="13" t="s">
        <v>93</v>
      </c>
      <c r="F2550" s="13" t="s">
        <v>4578</v>
      </c>
      <c r="G2550" s="20" t="str">
        <f>HYPERLINK("https://semena-nn.ru/catalog/55/1126621","Фото")</f>
        <v>Фото</v>
      </c>
      <c r="H2550" s="18">
        <v>18.7</v>
      </c>
      <c r="I2550" s="27"/>
      <c r="J2550" s="13">
        <f>H2550*I2550</f>
        <v>0</v>
      </c>
    </row>
    <row r="2551" spans="1:10" ht="12" customHeight="1">
      <c r="A2551" s="13" t="s">
        <v>4579</v>
      </c>
      <c r="B2551" s="13" t="s">
        <v>4580</v>
      </c>
      <c r="C2551" s="13" t="s">
        <v>605</v>
      </c>
      <c r="D2551" s="13" t="s">
        <v>3475</v>
      </c>
      <c r="E2551" s="13" t="s">
        <v>93</v>
      </c>
      <c r="F2551" s="13" t="s">
        <v>4581</v>
      </c>
      <c r="G2551" s="20" t="str">
        <f>HYPERLINK("https://semena-nn.ru/catalog/55/1304962","Фото")</f>
        <v>Фото</v>
      </c>
      <c r="H2551" s="18">
        <v>18.7</v>
      </c>
      <c r="I2551" s="27"/>
      <c r="J2551" s="13">
        <f>H2551*I2551</f>
        <v>0</v>
      </c>
    </row>
    <row r="2552" spans="1:10" ht="12" customHeight="1">
      <c r="A2552" s="13" t="s">
        <v>4582</v>
      </c>
      <c r="B2552" s="13" t="s">
        <v>4583</v>
      </c>
      <c r="C2552" s="13" t="s">
        <v>671</v>
      </c>
      <c r="D2552" s="13" t="s">
        <v>3475</v>
      </c>
      <c r="E2552" s="13" t="s">
        <v>93</v>
      </c>
      <c r="F2552" s="13" t="s">
        <v>4584</v>
      </c>
      <c r="G2552" s="20" t="str">
        <f>HYPERLINK("https://semena-nn.ru/catalog/56/999000006186","Фото")</f>
        <v>Фото</v>
      </c>
      <c r="H2552" s="18">
        <v>18.7</v>
      </c>
      <c r="I2552" s="27"/>
      <c r="J2552" s="13">
        <f>H2552*I2552</f>
        <v>0</v>
      </c>
    </row>
    <row r="2553" spans="1:10" ht="12" customHeight="1">
      <c r="A2553" s="13" t="s">
        <v>5728</v>
      </c>
      <c r="B2553" s="13" t="s">
        <v>5729</v>
      </c>
      <c r="C2553" s="13" t="s">
        <v>671</v>
      </c>
      <c r="D2553" s="13" t="s">
        <v>5136</v>
      </c>
      <c r="E2553" s="13" t="s">
        <v>93</v>
      </c>
      <c r="F2553" s="13" t="s">
        <v>5730</v>
      </c>
      <c r="G2553" s="20" t="str">
        <f>HYPERLINK("https://semena-nn.ru/catalog/56/888000000903","Фото")</f>
        <v>Фото</v>
      </c>
      <c r="H2553" s="15">
        <v>40</v>
      </c>
      <c r="I2553" s="27"/>
      <c r="J2553" s="13">
        <f>H2553*I2553</f>
        <v>0</v>
      </c>
    </row>
    <row r="2554" spans="1:10" ht="12" customHeight="1">
      <c r="A2554" s="13" t="s">
        <v>5731</v>
      </c>
      <c r="B2554" s="13" t="s">
        <v>5732</v>
      </c>
      <c r="C2554" s="13" t="s">
        <v>671</v>
      </c>
      <c r="D2554" s="13" t="s">
        <v>5136</v>
      </c>
      <c r="E2554" s="13" t="s">
        <v>93</v>
      </c>
      <c r="F2554" s="13" t="s">
        <v>5733</v>
      </c>
      <c r="G2554" s="20" t="str">
        <f>HYPERLINK("https://semena-nn.ru/catalog/56/888000000904","Фото")</f>
        <v>Фото</v>
      </c>
      <c r="H2554" s="15">
        <v>150</v>
      </c>
      <c r="I2554" s="27"/>
      <c r="J2554" s="13">
        <f>H2554*I2554</f>
        <v>0</v>
      </c>
    </row>
    <row r="2555" spans="1:10" ht="12" customHeight="1">
      <c r="A2555" s="13" t="s">
        <v>2191</v>
      </c>
      <c r="B2555" s="13" t="s">
        <v>2192</v>
      </c>
      <c r="C2555" s="13" t="s">
        <v>671</v>
      </c>
      <c r="D2555" s="13" t="s">
        <v>697</v>
      </c>
      <c r="E2555" s="13" t="s">
        <v>93</v>
      </c>
      <c r="F2555" s="13" t="s">
        <v>2193</v>
      </c>
      <c r="G2555" s="20" t="str">
        <f>HYPERLINK("https://semena-nn.ru/catalog/56/999000009264","Фото")</f>
        <v>Фото</v>
      </c>
      <c r="H2555" s="18">
        <v>18.7</v>
      </c>
      <c r="I2555" s="27"/>
      <c r="J2555" s="13">
        <f>H2555*I2555</f>
        <v>0</v>
      </c>
    </row>
    <row r="2556" spans="1:10" ht="12" customHeight="1">
      <c r="A2556" s="13" t="s">
        <v>2194</v>
      </c>
      <c r="B2556" s="13" t="s">
        <v>2195</v>
      </c>
      <c r="C2556" s="13" t="s">
        <v>605</v>
      </c>
      <c r="D2556" s="13" t="s">
        <v>697</v>
      </c>
      <c r="E2556" s="13" t="s">
        <v>93</v>
      </c>
      <c r="F2556" s="13" t="s">
        <v>2196</v>
      </c>
      <c r="G2556" s="20" t="str">
        <f>HYPERLINK("https://semena-nn.ru/catalog/55/999000008088","Фото")</f>
        <v>Фото</v>
      </c>
      <c r="H2556" s="18">
        <v>23.2</v>
      </c>
      <c r="I2556" s="27"/>
      <c r="J2556" s="13">
        <f>H2556*I2556</f>
        <v>0</v>
      </c>
    </row>
    <row r="2557" spans="1:10" ht="12" customHeight="1">
      <c r="A2557" s="13" t="s">
        <v>6740</v>
      </c>
      <c r="B2557" s="13" t="s">
        <v>6741</v>
      </c>
      <c r="C2557" s="13" t="s">
        <v>605</v>
      </c>
      <c r="D2557" s="13" t="s">
        <v>87</v>
      </c>
      <c r="E2557" s="13" t="s">
        <v>93</v>
      </c>
      <c r="F2557" s="13" t="s">
        <v>6742</v>
      </c>
      <c r="G2557" s="20" t="str">
        <f>HYPERLINK("https://semena-nn.ru/catalog/55/106609","Фото")</f>
        <v>Фото</v>
      </c>
      <c r="H2557" s="18">
        <v>31.5</v>
      </c>
      <c r="I2557" s="27"/>
      <c r="J2557" s="13">
        <f>H2557*I2557</f>
        <v>0</v>
      </c>
    </row>
    <row r="2558" spans="1:10" ht="12" customHeight="1">
      <c r="A2558" s="13" t="s">
        <v>2197</v>
      </c>
      <c r="B2558" s="13" t="s">
        <v>2198</v>
      </c>
      <c r="C2558" s="13" t="s">
        <v>605</v>
      </c>
      <c r="D2558" s="13" t="s">
        <v>697</v>
      </c>
      <c r="E2558" s="13" t="s">
        <v>93</v>
      </c>
      <c r="F2558" s="13" t="s">
        <v>2199</v>
      </c>
      <c r="G2558" s="20" t="str">
        <f>HYPERLINK("https://semena-nn.ru/catalog/55/999000013141","Фото")</f>
        <v>Фото</v>
      </c>
      <c r="H2558" s="18">
        <v>21.8</v>
      </c>
      <c r="I2558" s="27"/>
      <c r="J2558" s="13">
        <f>H2558*I2558</f>
        <v>0</v>
      </c>
    </row>
    <row r="2559" spans="1:10" ht="12" customHeight="1">
      <c r="A2559" s="13" t="s">
        <v>2200</v>
      </c>
      <c r="B2559" s="13" t="s">
        <v>2201</v>
      </c>
      <c r="C2559" s="13" t="s">
        <v>671</v>
      </c>
      <c r="D2559" s="13" t="s">
        <v>697</v>
      </c>
      <c r="E2559" s="13" t="s">
        <v>93</v>
      </c>
      <c r="F2559" s="13" t="s">
        <v>2202</v>
      </c>
      <c r="G2559" s="20" t="str">
        <f>HYPERLINK("https://semena-nn.ru/catalog/56/888000007604","Фото")</f>
        <v>Фото</v>
      </c>
      <c r="H2559" s="18">
        <v>55.1</v>
      </c>
      <c r="I2559" s="27"/>
      <c r="J2559" s="13">
        <f>H2559*I2559</f>
        <v>0</v>
      </c>
    </row>
    <row r="2560" spans="1:10" ht="12" customHeight="1">
      <c r="A2560" s="13" t="s">
        <v>2203</v>
      </c>
      <c r="B2560" s="13" t="s">
        <v>2204</v>
      </c>
      <c r="C2560" s="13" t="s">
        <v>605</v>
      </c>
      <c r="D2560" s="13" t="s">
        <v>697</v>
      </c>
      <c r="E2560" s="13" t="s">
        <v>93</v>
      </c>
      <c r="F2560" s="13" t="s">
        <v>2205</v>
      </c>
      <c r="G2560" s="20" t="str">
        <f>HYPERLINK("https://semena-nn.ru/catalog/55/94929","Фото")</f>
        <v>Фото</v>
      </c>
      <c r="H2560" s="15">
        <v>21</v>
      </c>
      <c r="I2560" s="27"/>
      <c r="J2560" s="13">
        <f>H2560*I2560</f>
        <v>0</v>
      </c>
    </row>
    <row r="2561" spans="1:10" ht="12" customHeight="1">
      <c r="A2561" s="13" t="s">
        <v>6743</v>
      </c>
      <c r="B2561" s="13" t="s">
        <v>6744</v>
      </c>
      <c r="C2561" s="13" t="s">
        <v>605</v>
      </c>
      <c r="D2561" s="13" t="s">
        <v>87</v>
      </c>
      <c r="E2561" s="13" t="s">
        <v>93</v>
      </c>
      <c r="F2561" s="13" t="s">
        <v>6745</v>
      </c>
      <c r="G2561" s="20" t="str">
        <f>HYPERLINK("https://semena-nn.ru/catalog/55/1288056","Фото")</f>
        <v>Фото</v>
      </c>
      <c r="H2561" s="18">
        <v>31.5</v>
      </c>
      <c r="I2561" s="27"/>
      <c r="J2561" s="13">
        <f>H2561*I2561</f>
        <v>0</v>
      </c>
    </row>
    <row r="2562" spans="1:10" ht="12" customHeight="1">
      <c r="A2562" s="13" t="s">
        <v>4585</v>
      </c>
      <c r="B2562" s="13" t="s">
        <v>4586</v>
      </c>
      <c r="C2562" s="13" t="s">
        <v>605</v>
      </c>
      <c r="D2562" s="13" t="s">
        <v>3475</v>
      </c>
      <c r="E2562" s="13" t="s">
        <v>93</v>
      </c>
      <c r="F2562" s="13" t="s">
        <v>4587</v>
      </c>
      <c r="G2562" s="20" t="str">
        <f>HYPERLINK("http://semena-nn.ru/catalog/55/999000005673","Фото")</f>
        <v>Фото</v>
      </c>
      <c r="H2562" s="18">
        <v>18.7</v>
      </c>
      <c r="I2562" s="27"/>
      <c r="J2562" s="13">
        <f>H2562*I2562</f>
        <v>0</v>
      </c>
    </row>
    <row r="2563" spans="1:10" ht="12" customHeight="1">
      <c r="A2563" s="13" t="s">
        <v>4588</v>
      </c>
      <c r="B2563" s="13" t="s">
        <v>4589</v>
      </c>
      <c r="C2563" s="13" t="s">
        <v>605</v>
      </c>
      <c r="D2563" s="13" t="s">
        <v>3475</v>
      </c>
      <c r="E2563" s="13" t="s">
        <v>93</v>
      </c>
      <c r="F2563" s="13" t="s">
        <v>4590</v>
      </c>
      <c r="G2563" s="20" t="str">
        <f>HYPERLINK("https://semena-nn.ru/catalog/55/1123194","Фото")</f>
        <v>Фото</v>
      </c>
      <c r="H2563" s="18">
        <v>18.7</v>
      </c>
      <c r="I2563" s="27"/>
      <c r="J2563" s="13">
        <f>H2563*I2563</f>
        <v>0</v>
      </c>
    </row>
    <row r="2564" spans="1:10" ht="12" customHeight="1">
      <c r="A2564" s="13" t="s">
        <v>4591</v>
      </c>
      <c r="B2564" s="13" t="s">
        <v>4592</v>
      </c>
      <c r="C2564" s="13" t="s">
        <v>605</v>
      </c>
      <c r="D2564" s="13" t="s">
        <v>3475</v>
      </c>
      <c r="E2564" s="13" t="s">
        <v>93</v>
      </c>
      <c r="F2564" s="13" t="s">
        <v>4593</v>
      </c>
      <c r="G2564" s="20" t="str">
        <f>HYPERLINK("https://semena-nn.ru/catalog/55/999000011412","Фото")</f>
        <v>Фото</v>
      </c>
      <c r="H2564" s="18">
        <v>18.7</v>
      </c>
      <c r="I2564" s="27"/>
      <c r="J2564" s="13">
        <f>H2564*I2564</f>
        <v>0</v>
      </c>
    </row>
    <row r="2565" spans="1:10" ht="12" customHeight="1">
      <c r="A2565" s="13" t="s">
        <v>4594</v>
      </c>
      <c r="B2565" s="13" t="s">
        <v>4595</v>
      </c>
      <c r="C2565" s="13" t="s">
        <v>605</v>
      </c>
      <c r="D2565" s="13" t="s">
        <v>3475</v>
      </c>
      <c r="E2565" s="13" t="s">
        <v>93</v>
      </c>
      <c r="F2565" s="13" t="s">
        <v>4596</v>
      </c>
      <c r="G2565" s="20" t="str">
        <f>HYPERLINK("https://semena-nn.ru/catalog/55/1118191","Фото")</f>
        <v>Фото</v>
      </c>
      <c r="H2565" s="18">
        <v>18.7</v>
      </c>
      <c r="I2565" s="27"/>
      <c r="J2565" s="13">
        <f>H2565*I2565</f>
        <v>0</v>
      </c>
    </row>
    <row r="2566" spans="1:10" ht="12" customHeight="1">
      <c r="A2566" s="13" t="s">
        <v>5734</v>
      </c>
      <c r="B2566" s="13" t="s">
        <v>5735</v>
      </c>
      <c r="C2566" s="13" t="s">
        <v>671</v>
      </c>
      <c r="D2566" s="13" t="s">
        <v>5136</v>
      </c>
      <c r="E2566" s="13" t="s">
        <v>93</v>
      </c>
      <c r="F2566" s="13" t="s">
        <v>5736</v>
      </c>
      <c r="G2566" s="20" t="str">
        <f>HYPERLINK("https://semena-nn.ru/catalog/56/999000019943","Фото")</f>
        <v>Фото</v>
      </c>
      <c r="H2566" s="15">
        <v>265</v>
      </c>
      <c r="I2566" s="27"/>
      <c r="J2566" s="13">
        <f>H2566*I2566</f>
        <v>0</v>
      </c>
    </row>
    <row r="2567" spans="1:10" ht="12" customHeight="1">
      <c r="A2567" s="13" t="s">
        <v>5737</v>
      </c>
      <c r="B2567" s="13" t="s">
        <v>5738</v>
      </c>
      <c r="C2567" s="13" t="s">
        <v>671</v>
      </c>
      <c r="D2567" s="13" t="s">
        <v>5136</v>
      </c>
      <c r="E2567" s="13" t="s">
        <v>93</v>
      </c>
      <c r="F2567" s="13" t="s">
        <v>5739</v>
      </c>
      <c r="G2567" s="20" t="str">
        <f>HYPERLINK("https://semena-nn.ru/catalog/56/999000019944","Фото")</f>
        <v>Фото</v>
      </c>
      <c r="H2567" s="15">
        <v>102</v>
      </c>
      <c r="I2567" s="27"/>
      <c r="J2567" s="13">
        <f>H2567*I2567</f>
        <v>0</v>
      </c>
    </row>
    <row r="2568" spans="1:10" ht="12" customHeight="1">
      <c r="A2568" s="13" t="s">
        <v>6746</v>
      </c>
      <c r="B2568" s="13" t="s">
        <v>6747</v>
      </c>
      <c r="C2568" s="13" t="s">
        <v>628</v>
      </c>
      <c r="D2568" s="13" t="s">
        <v>87</v>
      </c>
      <c r="E2568" s="13" t="s">
        <v>93</v>
      </c>
      <c r="F2568" s="13" t="s">
        <v>6748</v>
      </c>
      <c r="G2568" s="20" t="str">
        <f>HYPERLINK("https://semena-nn.ru/catalog/55/102742","Фото")</f>
        <v>Фото</v>
      </c>
      <c r="H2568" s="19">
        <v>17.75</v>
      </c>
      <c r="I2568" s="27"/>
      <c r="J2568" s="13">
        <f>H2568*I2568</f>
        <v>0</v>
      </c>
    </row>
    <row r="2569" spans="1:10" ht="12" customHeight="1">
      <c r="A2569" s="13" t="s">
        <v>4597</v>
      </c>
      <c r="B2569" s="13" t="s">
        <v>4598</v>
      </c>
      <c r="C2569" s="13" t="s">
        <v>605</v>
      </c>
      <c r="D2569" s="13" t="s">
        <v>3475</v>
      </c>
      <c r="E2569" s="13" t="s">
        <v>93</v>
      </c>
      <c r="F2569" s="13" t="s">
        <v>4599</v>
      </c>
      <c r="G2569" s="20" t="str">
        <f>HYPERLINK("https://semena-nn.ru/catalog/55/999000011052","Фото")</f>
        <v>Фото</v>
      </c>
      <c r="H2569" s="18">
        <v>18.7</v>
      </c>
      <c r="I2569" s="27"/>
      <c r="J2569" s="13">
        <f>H2569*I2569</f>
        <v>0</v>
      </c>
    </row>
    <row r="2570" spans="1:10" ht="12" customHeight="1">
      <c r="A2570" s="13" t="s">
        <v>4600</v>
      </c>
      <c r="B2570" s="13" t="s">
        <v>4601</v>
      </c>
      <c r="C2570" s="13" t="s">
        <v>671</v>
      </c>
      <c r="D2570" s="13" t="s">
        <v>3475</v>
      </c>
      <c r="E2570" s="13" t="s">
        <v>93</v>
      </c>
      <c r="F2570" s="13" t="s">
        <v>4602</v>
      </c>
      <c r="G2570" s="20" t="str">
        <f>HYPERLINK("https://semena-nn.ru/catalog/56/1123187","Фото")</f>
        <v>Фото</v>
      </c>
      <c r="H2570" s="18">
        <v>18.7</v>
      </c>
      <c r="I2570" s="27"/>
      <c r="J2570" s="13">
        <f>H2570*I2570</f>
        <v>0</v>
      </c>
    </row>
    <row r="2571" spans="1:10" ht="12" customHeight="1">
      <c r="A2571" s="13" t="s">
        <v>4603</v>
      </c>
      <c r="B2571" s="13" t="s">
        <v>4604</v>
      </c>
      <c r="C2571" s="13" t="s">
        <v>671</v>
      </c>
      <c r="D2571" s="13" t="s">
        <v>3475</v>
      </c>
      <c r="E2571" s="13" t="s">
        <v>93</v>
      </c>
      <c r="F2571" s="13" t="s">
        <v>4605</v>
      </c>
      <c r="G2571" s="20" t="str">
        <f>HYPERLINK("https://semena-nn.ru/catalog/56/888000000405","Фото")</f>
        <v>Фото</v>
      </c>
      <c r="H2571" s="18">
        <v>18.7</v>
      </c>
      <c r="I2571" s="27"/>
      <c r="J2571" s="13">
        <f>H2571*I2571</f>
        <v>0</v>
      </c>
    </row>
    <row r="2572" spans="1:10" ht="12" customHeight="1">
      <c r="A2572" s="13" t="s">
        <v>4606</v>
      </c>
      <c r="B2572" s="13" t="s">
        <v>4607</v>
      </c>
      <c r="C2572" s="13" t="s">
        <v>605</v>
      </c>
      <c r="D2572" s="13" t="s">
        <v>3475</v>
      </c>
      <c r="E2572" s="13" t="s">
        <v>93</v>
      </c>
      <c r="F2572" s="13" t="s">
        <v>4608</v>
      </c>
      <c r="G2572" s="20" t="str">
        <f>HYPERLINK("https://semena-nn.ru/catalog/55/1125184","Фото")</f>
        <v>Фото</v>
      </c>
      <c r="H2572" s="18">
        <v>18.7</v>
      </c>
      <c r="I2572" s="27"/>
      <c r="J2572" s="13">
        <f>H2572*I2572</f>
        <v>0</v>
      </c>
    </row>
    <row r="2573" spans="1:10" ht="12" customHeight="1">
      <c r="A2573" s="13" t="s">
        <v>4609</v>
      </c>
      <c r="B2573" s="13" t="s">
        <v>4610</v>
      </c>
      <c r="C2573" s="13" t="s">
        <v>624</v>
      </c>
      <c r="D2573" s="13" t="s">
        <v>3475</v>
      </c>
      <c r="E2573" s="13" t="s">
        <v>93</v>
      </c>
      <c r="F2573" s="13" t="s">
        <v>4611</v>
      </c>
      <c r="G2573" s="20" t="str">
        <f>HYPERLINK("https://semena-nn.ru/catalog/57/888000000330","Фото")</f>
        <v>Фото</v>
      </c>
      <c r="H2573" s="18">
        <v>35.700000000000003</v>
      </c>
      <c r="I2573" s="27"/>
      <c r="J2573" s="13">
        <f>H2573*I2573</f>
        <v>0</v>
      </c>
    </row>
    <row r="2574" spans="1:10" ht="12" customHeight="1">
      <c r="A2574" s="13" t="s">
        <v>4612</v>
      </c>
      <c r="B2574" s="13" t="s">
        <v>4613</v>
      </c>
      <c r="C2574" s="13" t="s">
        <v>624</v>
      </c>
      <c r="D2574" s="13" t="s">
        <v>3475</v>
      </c>
      <c r="E2574" s="13" t="s">
        <v>93</v>
      </c>
      <c r="F2574" s="13" t="s">
        <v>4614</v>
      </c>
      <c r="G2574" s="20" t="str">
        <f>HYPERLINK("https://semena-nn.ru/catalog/57/888000000333","Фото")</f>
        <v>Фото</v>
      </c>
      <c r="H2574" s="18">
        <v>35.700000000000003</v>
      </c>
      <c r="I2574" s="27"/>
      <c r="J2574" s="13">
        <f>H2574*I2574</f>
        <v>0</v>
      </c>
    </row>
    <row r="2575" spans="1:10" ht="12" customHeight="1">
      <c r="A2575" s="13" t="s">
        <v>4615</v>
      </c>
      <c r="B2575" s="13" t="s">
        <v>4616</v>
      </c>
      <c r="C2575" s="13" t="s">
        <v>624</v>
      </c>
      <c r="D2575" s="13" t="s">
        <v>3475</v>
      </c>
      <c r="E2575" s="13" t="s">
        <v>93</v>
      </c>
      <c r="F2575" s="13" t="s">
        <v>4617</v>
      </c>
      <c r="G2575" s="20" t="str">
        <f>HYPERLINK("https://semena-nn.ru/catalog/57/999000009324","Фото")</f>
        <v>Фото</v>
      </c>
      <c r="H2575" s="18">
        <v>32.6</v>
      </c>
      <c r="I2575" s="27"/>
      <c r="J2575" s="13">
        <f>H2575*I2575</f>
        <v>0</v>
      </c>
    </row>
    <row r="2576" spans="1:10" ht="12" customHeight="1">
      <c r="A2576" s="13" t="s">
        <v>4618</v>
      </c>
      <c r="B2576" s="13" t="s">
        <v>4619</v>
      </c>
      <c r="C2576" s="13" t="s">
        <v>624</v>
      </c>
      <c r="D2576" s="13" t="s">
        <v>3475</v>
      </c>
      <c r="E2576" s="13" t="s">
        <v>93</v>
      </c>
      <c r="F2576" s="13" t="s">
        <v>4620</v>
      </c>
      <c r="G2576" s="20" t="str">
        <f>HYPERLINK("https://semena-nn.ru/catalog/57/999000012760","Фото")</f>
        <v>Фото</v>
      </c>
      <c r="H2576" s="18">
        <v>26.5</v>
      </c>
      <c r="I2576" s="27"/>
      <c r="J2576" s="13">
        <f>H2576*I2576</f>
        <v>0</v>
      </c>
    </row>
    <row r="2577" spans="1:10" ht="12" customHeight="1">
      <c r="A2577" s="13" t="s">
        <v>4621</v>
      </c>
      <c r="B2577" s="13" t="s">
        <v>4622</v>
      </c>
      <c r="C2577" s="13" t="s">
        <v>624</v>
      </c>
      <c r="D2577" s="13" t="s">
        <v>3475</v>
      </c>
      <c r="E2577" s="13" t="s">
        <v>93</v>
      </c>
      <c r="F2577" s="13" t="s">
        <v>4623</v>
      </c>
      <c r="G2577" s="20" t="str">
        <f>HYPERLINK("https://semena-nn.ru/catalog/57/888000000331","Фото")</f>
        <v>Фото</v>
      </c>
      <c r="H2577" s="18">
        <v>37.5</v>
      </c>
      <c r="I2577" s="27"/>
      <c r="J2577" s="13">
        <f>H2577*I2577</f>
        <v>0</v>
      </c>
    </row>
    <row r="2578" spans="1:10" ht="12" customHeight="1">
      <c r="A2578" s="13" t="s">
        <v>4624</v>
      </c>
      <c r="B2578" s="13" t="s">
        <v>4625</v>
      </c>
      <c r="C2578" s="13" t="s">
        <v>624</v>
      </c>
      <c r="D2578" s="13" t="s">
        <v>3475</v>
      </c>
      <c r="E2578" s="13" t="s">
        <v>93</v>
      </c>
      <c r="F2578" s="13" t="s">
        <v>4626</v>
      </c>
      <c r="G2578" s="20" t="str">
        <f>HYPERLINK("https://semena-nn.ru/catalog/57/888000000982","Фото")</f>
        <v>Фото</v>
      </c>
      <c r="H2578" s="18">
        <v>35.700000000000003</v>
      </c>
      <c r="I2578" s="27"/>
      <c r="J2578" s="13">
        <f>H2578*I2578</f>
        <v>0</v>
      </c>
    </row>
    <row r="2579" spans="1:10" ht="12" customHeight="1">
      <c r="A2579" s="13" t="s">
        <v>4627</v>
      </c>
      <c r="B2579" s="13" t="s">
        <v>4628</v>
      </c>
      <c r="C2579" s="13" t="s">
        <v>624</v>
      </c>
      <c r="D2579" s="13" t="s">
        <v>3475</v>
      </c>
      <c r="E2579" s="13" t="s">
        <v>93</v>
      </c>
      <c r="F2579" s="13" t="s">
        <v>4629</v>
      </c>
      <c r="G2579" s="20" t="str">
        <f>HYPERLINK("https://semena-nn.ru/catalog/57/888000000332","Фото")</f>
        <v>Фото</v>
      </c>
      <c r="H2579" s="18">
        <v>34.6</v>
      </c>
      <c r="I2579" s="27"/>
      <c r="J2579" s="13">
        <f>H2579*I2579</f>
        <v>0</v>
      </c>
    </row>
    <row r="2580" spans="1:10" ht="12" customHeight="1">
      <c r="A2580" s="13" t="s">
        <v>4630</v>
      </c>
      <c r="B2580" s="13" t="s">
        <v>4631</v>
      </c>
      <c r="C2580" s="13" t="s">
        <v>671</v>
      </c>
      <c r="D2580" s="13" t="s">
        <v>3475</v>
      </c>
      <c r="E2580" s="13" t="s">
        <v>93</v>
      </c>
      <c r="F2580" s="13" t="s">
        <v>4632</v>
      </c>
      <c r="G2580" s="20" t="str">
        <f>HYPERLINK("https://semena-nn.ru/catalog/56/1118545","Фото")</f>
        <v>Фото</v>
      </c>
      <c r="H2580" s="18">
        <v>18.7</v>
      </c>
      <c r="I2580" s="27"/>
      <c r="J2580" s="13">
        <f>H2580*I2580</f>
        <v>0</v>
      </c>
    </row>
    <row r="2581" spans="1:10" ht="12" customHeight="1">
      <c r="A2581" s="13" t="s">
        <v>4633</v>
      </c>
      <c r="B2581" s="13" t="s">
        <v>4634</v>
      </c>
      <c r="C2581" s="13" t="s">
        <v>671</v>
      </c>
      <c r="D2581" s="13" t="s">
        <v>3475</v>
      </c>
      <c r="E2581" s="13" t="s">
        <v>93</v>
      </c>
      <c r="F2581" s="13" t="s">
        <v>4635</v>
      </c>
      <c r="G2581" s="20" t="str">
        <f>HYPERLINK("https://semena-nn.ru/catalog/56/1120042","Фото")</f>
        <v>Фото</v>
      </c>
      <c r="H2581" s="18">
        <v>18.7</v>
      </c>
      <c r="I2581" s="27"/>
      <c r="J2581" s="13">
        <f>H2581*I2581</f>
        <v>0</v>
      </c>
    </row>
    <row r="2582" spans="1:10" ht="12" customHeight="1">
      <c r="A2582" s="13" t="s">
        <v>4636</v>
      </c>
      <c r="B2582" s="13" t="s">
        <v>4637</v>
      </c>
      <c r="C2582" s="13" t="s">
        <v>671</v>
      </c>
      <c r="D2582" s="13" t="s">
        <v>3475</v>
      </c>
      <c r="E2582" s="13" t="s">
        <v>93</v>
      </c>
      <c r="F2582" s="13" t="s">
        <v>4638</v>
      </c>
      <c r="G2582" s="20" t="str">
        <f>HYPERLINK("https://semena-nn.ru/catalog/56/1117913","Фото")</f>
        <v>Фото</v>
      </c>
      <c r="H2582" s="18">
        <v>18.7</v>
      </c>
      <c r="I2582" s="27"/>
      <c r="J2582" s="13">
        <f>H2582*I2582</f>
        <v>0</v>
      </c>
    </row>
    <row r="2583" spans="1:10" ht="12" customHeight="1">
      <c r="A2583" s="13" t="s">
        <v>4639</v>
      </c>
      <c r="B2583" s="13" t="s">
        <v>4640</v>
      </c>
      <c r="C2583" s="13" t="s">
        <v>671</v>
      </c>
      <c r="D2583" s="13" t="s">
        <v>3475</v>
      </c>
      <c r="E2583" s="13" t="s">
        <v>93</v>
      </c>
      <c r="F2583" s="13" t="s">
        <v>4635</v>
      </c>
      <c r="G2583" s="20" t="str">
        <f>HYPERLINK("https://semena-nn.ru/catalog/56/1115383","Фото")</f>
        <v>Фото</v>
      </c>
      <c r="H2583" s="18">
        <v>18.7</v>
      </c>
      <c r="I2583" s="27"/>
      <c r="J2583" s="13">
        <f>H2583*I2583</f>
        <v>0</v>
      </c>
    </row>
    <row r="2584" spans="1:10" ht="12" customHeight="1">
      <c r="A2584" s="13" t="s">
        <v>4641</v>
      </c>
      <c r="B2584" s="13" t="s">
        <v>4642</v>
      </c>
      <c r="C2584" s="13" t="s">
        <v>671</v>
      </c>
      <c r="D2584" s="13" t="s">
        <v>3475</v>
      </c>
      <c r="E2584" s="13" t="s">
        <v>93</v>
      </c>
      <c r="F2584" s="13" t="s">
        <v>4643</v>
      </c>
      <c r="G2584" s="20" t="str">
        <f>HYPERLINK("https://semena-nn.ru/catalog/56/888000007615","Фото")</f>
        <v>Фото</v>
      </c>
      <c r="H2584" s="19">
        <v>17.350000000000001</v>
      </c>
      <c r="I2584" s="27"/>
      <c r="J2584" s="13">
        <f>H2584*I2584</f>
        <v>0</v>
      </c>
    </row>
    <row r="2585" spans="1:10" ht="12" customHeight="1">
      <c r="A2585" s="13" t="s">
        <v>2206</v>
      </c>
      <c r="B2585" s="13" t="s">
        <v>2207</v>
      </c>
      <c r="C2585" s="13" t="s">
        <v>671</v>
      </c>
      <c r="D2585" s="13" t="s">
        <v>697</v>
      </c>
      <c r="E2585" s="13" t="s">
        <v>93</v>
      </c>
      <c r="F2585" s="13" t="s">
        <v>2208</v>
      </c>
      <c r="G2585" s="20" t="str">
        <f>HYPERLINK("https://semena-nn.ru/catalog/56/2359","Фото")</f>
        <v>Фото</v>
      </c>
      <c r="H2585" s="18">
        <v>22.2</v>
      </c>
      <c r="I2585" s="27"/>
      <c r="J2585" s="13">
        <f>H2585*I2585</f>
        <v>0</v>
      </c>
    </row>
    <row r="2586" spans="1:10" ht="12" customHeight="1">
      <c r="A2586" s="13" t="s">
        <v>5740</v>
      </c>
      <c r="B2586" s="13" t="s">
        <v>5741</v>
      </c>
      <c r="C2586" s="13" t="s">
        <v>605</v>
      </c>
      <c r="D2586" s="13" t="s">
        <v>5136</v>
      </c>
      <c r="E2586" s="13" t="s">
        <v>93</v>
      </c>
      <c r="F2586" s="13" t="s">
        <v>5742</v>
      </c>
      <c r="G2586" s="20" t="str">
        <f>HYPERLINK("https://semena-nn.ru/catalog/55/888000000342","Фото")</f>
        <v>Фото</v>
      </c>
      <c r="H2586" s="15">
        <v>41</v>
      </c>
      <c r="I2586" s="27"/>
      <c r="J2586" s="13">
        <f>H2586*I2586</f>
        <v>0</v>
      </c>
    </row>
    <row r="2587" spans="1:10" ht="12" customHeight="1">
      <c r="A2587" s="13" t="s">
        <v>4644</v>
      </c>
      <c r="B2587" s="13" t="s">
        <v>4645</v>
      </c>
      <c r="C2587" s="13" t="s">
        <v>671</v>
      </c>
      <c r="D2587" s="13" t="s">
        <v>3475</v>
      </c>
      <c r="E2587" s="13" t="s">
        <v>93</v>
      </c>
      <c r="F2587" s="13" t="s">
        <v>4646</v>
      </c>
      <c r="G2587" s="20" t="str">
        <f>HYPERLINK("https://semena-nn.ru/catalog/56/999000008709","Фото")</f>
        <v>Фото</v>
      </c>
      <c r="H2587" s="19">
        <v>20.95</v>
      </c>
      <c r="I2587" s="27"/>
      <c r="J2587" s="13">
        <f>H2587*I2587</f>
        <v>0</v>
      </c>
    </row>
    <row r="2588" spans="1:10" ht="12" customHeight="1">
      <c r="A2588" s="13" t="s">
        <v>4647</v>
      </c>
      <c r="B2588" s="13" t="s">
        <v>4648</v>
      </c>
      <c r="C2588" s="13" t="s">
        <v>671</v>
      </c>
      <c r="D2588" s="13" t="s">
        <v>3475</v>
      </c>
      <c r="E2588" s="13" t="s">
        <v>93</v>
      </c>
      <c r="F2588" s="13" t="s">
        <v>4649</v>
      </c>
      <c r="G2588" s="20" t="str">
        <f>HYPERLINK("https://semena-nn.ru/catalog/56/999000006180","Фото")</f>
        <v>Фото</v>
      </c>
      <c r="H2588" s="19">
        <v>19.95</v>
      </c>
      <c r="I2588" s="27"/>
      <c r="J2588" s="13">
        <f>H2588*I2588</f>
        <v>0</v>
      </c>
    </row>
    <row r="2589" spans="1:10" ht="12" customHeight="1">
      <c r="A2589" s="13" t="s">
        <v>4650</v>
      </c>
      <c r="B2589" s="13" t="s">
        <v>4651</v>
      </c>
      <c r="C2589" s="13" t="s">
        <v>624</v>
      </c>
      <c r="D2589" s="13" t="s">
        <v>3475</v>
      </c>
      <c r="E2589" s="13" t="s">
        <v>93</v>
      </c>
      <c r="F2589" s="13" t="s">
        <v>4652</v>
      </c>
      <c r="G2589" s="20" t="str">
        <f>HYPERLINK("https://semena-nn.ru/catalog/57/1121436","Фото")</f>
        <v>Фото</v>
      </c>
      <c r="H2589" s="18">
        <v>33.1</v>
      </c>
      <c r="I2589" s="27"/>
      <c r="J2589" s="13">
        <f>H2589*I2589</f>
        <v>0</v>
      </c>
    </row>
    <row r="2590" spans="1:10" ht="12" customHeight="1">
      <c r="A2590" s="13" t="s">
        <v>4653</v>
      </c>
      <c r="B2590" s="13" t="s">
        <v>4654</v>
      </c>
      <c r="C2590" s="13" t="s">
        <v>605</v>
      </c>
      <c r="D2590" s="13" t="s">
        <v>3475</v>
      </c>
      <c r="E2590" s="13" t="s">
        <v>93</v>
      </c>
      <c r="F2590" s="13" t="s">
        <v>4655</v>
      </c>
      <c r="G2590" s="20" t="str">
        <f>HYPERLINK("https://semena-nn.ru/catalog/55/1114310","Фото")</f>
        <v>Фото</v>
      </c>
      <c r="H2590" s="18">
        <v>18.7</v>
      </c>
      <c r="I2590" s="27"/>
      <c r="J2590" s="13">
        <f>H2590*I2590</f>
        <v>0</v>
      </c>
    </row>
    <row r="2591" spans="1:10" ht="12" customHeight="1">
      <c r="A2591" s="13" t="s">
        <v>5743</v>
      </c>
      <c r="B2591" s="13" t="s">
        <v>5744</v>
      </c>
      <c r="C2591" s="13" t="s">
        <v>671</v>
      </c>
      <c r="D2591" s="13" t="s">
        <v>5136</v>
      </c>
      <c r="E2591" s="13" t="s">
        <v>93</v>
      </c>
      <c r="F2591" s="13" t="s">
        <v>5745</v>
      </c>
      <c r="G2591" s="20" t="str">
        <f>HYPERLINK("https://semena-nn.ru/catalog/56/888000000070","Фото")</f>
        <v>Фото</v>
      </c>
      <c r="H2591" s="15">
        <v>56</v>
      </c>
      <c r="I2591" s="27"/>
      <c r="J2591" s="13">
        <f>H2591*I2591</f>
        <v>0</v>
      </c>
    </row>
    <row r="2592" spans="1:10" ht="12" customHeight="1">
      <c r="A2592" s="13" t="s">
        <v>5746</v>
      </c>
      <c r="B2592" s="13" t="s">
        <v>5747</v>
      </c>
      <c r="C2592" s="13" t="s">
        <v>671</v>
      </c>
      <c r="D2592" s="13" t="s">
        <v>5136</v>
      </c>
      <c r="E2592" s="13" t="s">
        <v>93</v>
      </c>
      <c r="F2592" s="13" t="s">
        <v>5748</v>
      </c>
      <c r="G2592" s="20" t="str">
        <f>HYPERLINK("https://semena-nn.ru/catalog/56/888000000071","Фото")</f>
        <v>Фото</v>
      </c>
      <c r="H2592" s="15">
        <v>56</v>
      </c>
      <c r="I2592" s="27"/>
      <c r="J2592" s="13">
        <f>H2592*I2592</f>
        <v>0</v>
      </c>
    </row>
    <row r="2593" spans="1:10" ht="12" customHeight="1">
      <c r="A2593" s="13" t="s">
        <v>2209</v>
      </c>
      <c r="B2593" s="13" t="s">
        <v>2210</v>
      </c>
      <c r="C2593" s="13" t="s">
        <v>671</v>
      </c>
      <c r="D2593" s="13" t="s">
        <v>697</v>
      </c>
      <c r="E2593" s="13" t="s">
        <v>93</v>
      </c>
      <c r="F2593" s="13" t="s">
        <v>2211</v>
      </c>
      <c r="G2593" s="20" t="str">
        <f>HYPERLINK("http://semena-nn.ru/catalog/56/1120492","Фото")</f>
        <v>Фото</v>
      </c>
      <c r="H2593" s="19">
        <v>50.55</v>
      </c>
      <c r="I2593" s="27"/>
      <c r="J2593" s="13">
        <f>H2593*I2593</f>
        <v>0</v>
      </c>
    </row>
    <row r="2594" spans="1:10" ht="12" customHeight="1">
      <c r="A2594" s="13" t="s">
        <v>4656</v>
      </c>
      <c r="B2594" s="13" t="s">
        <v>4657</v>
      </c>
      <c r="C2594" s="13" t="s">
        <v>671</v>
      </c>
      <c r="D2594" s="13" t="s">
        <v>3475</v>
      </c>
      <c r="E2594" s="13" t="s">
        <v>93</v>
      </c>
      <c r="F2594" s="13" t="s">
        <v>4658</v>
      </c>
      <c r="G2594" s="20" t="str">
        <f>HYPERLINK("https://semena-nn.ru/catalog/56/1118554","Фото")</f>
        <v>Фото</v>
      </c>
      <c r="H2594" s="15">
        <v>84</v>
      </c>
      <c r="I2594" s="27"/>
      <c r="J2594" s="13">
        <f>H2594*I2594</f>
        <v>0</v>
      </c>
    </row>
    <row r="2595" spans="1:10" ht="12" customHeight="1">
      <c r="A2595" s="13" t="s">
        <v>5749</v>
      </c>
      <c r="B2595" s="13" t="s">
        <v>5750</v>
      </c>
      <c r="C2595" s="13" t="s">
        <v>671</v>
      </c>
      <c r="D2595" s="13" t="s">
        <v>5136</v>
      </c>
      <c r="E2595" s="13" t="s">
        <v>93</v>
      </c>
      <c r="F2595" s="13" t="s">
        <v>5751</v>
      </c>
      <c r="G2595" s="20" t="str">
        <f>HYPERLINK("https://semena-nn.ru/catalog/56/888000000072","Фото")</f>
        <v>Фото</v>
      </c>
      <c r="H2595" s="15">
        <v>72</v>
      </c>
      <c r="I2595" s="27"/>
      <c r="J2595" s="13">
        <f>H2595*I2595</f>
        <v>0</v>
      </c>
    </row>
    <row r="2596" spans="1:10" ht="12" customHeight="1">
      <c r="A2596" s="13" t="s">
        <v>2212</v>
      </c>
      <c r="B2596" s="13" t="s">
        <v>2213</v>
      </c>
      <c r="C2596" s="13" t="s">
        <v>671</v>
      </c>
      <c r="D2596" s="13" t="s">
        <v>697</v>
      </c>
      <c r="E2596" s="13" t="s">
        <v>93</v>
      </c>
      <c r="F2596" s="13" t="s">
        <v>2214</v>
      </c>
      <c r="G2596" s="20" t="str">
        <f>HYPERLINK("http://semena-nn.ru/catalog/56/1311069","Фото")</f>
        <v>Фото</v>
      </c>
      <c r="H2596" s="19">
        <v>28.95</v>
      </c>
      <c r="I2596" s="27"/>
      <c r="J2596" s="13">
        <f>H2596*I2596</f>
        <v>0</v>
      </c>
    </row>
    <row r="2597" spans="1:10" ht="12" customHeight="1">
      <c r="A2597" s="13" t="s">
        <v>6749</v>
      </c>
      <c r="B2597" s="13" t="s">
        <v>6750</v>
      </c>
      <c r="C2597" s="13" t="s">
        <v>671</v>
      </c>
      <c r="D2597" s="13" t="s">
        <v>87</v>
      </c>
      <c r="E2597" s="13" t="s">
        <v>93</v>
      </c>
      <c r="F2597" s="13" t="s">
        <v>6751</v>
      </c>
      <c r="G2597" s="20" t="str">
        <f>HYPERLINK("http://semena-nn.ru/catalog/56/104952","Фото")</f>
        <v>Фото</v>
      </c>
      <c r="H2597" s="15">
        <v>21</v>
      </c>
      <c r="I2597" s="27"/>
      <c r="J2597" s="13">
        <f>H2597*I2597</f>
        <v>0</v>
      </c>
    </row>
    <row r="2598" spans="1:10" ht="12" customHeight="1">
      <c r="A2598" s="13" t="s">
        <v>4659</v>
      </c>
      <c r="B2598" s="13" t="s">
        <v>4660</v>
      </c>
      <c r="C2598" s="13" t="s">
        <v>671</v>
      </c>
      <c r="D2598" s="13" t="s">
        <v>3475</v>
      </c>
      <c r="E2598" s="13" t="s">
        <v>93</v>
      </c>
      <c r="F2598" s="13" t="s">
        <v>4661</v>
      </c>
      <c r="G2598" s="20" t="str">
        <f>HYPERLINK("https://semena-nn.ru/catalog/56/999000012765","Фото")</f>
        <v>Фото</v>
      </c>
      <c r="H2598" s="15">
        <v>42</v>
      </c>
      <c r="I2598" s="27"/>
      <c r="J2598" s="13">
        <f>H2598*I2598</f>
        <v>0</v>
      </c>
    </row>
    <row r="2599" spans="1:10" ht="12" customHeight="1">
      <c r="A2599" s="13" t="s">
        <v>4662</v>
      </c>
      <c r="B2599" s="13" t="s">
        <v>4663</v>
      </c>
      <c r="C2599" s="13" t="s">
        <v>671</v>
      </c>
      <c r="D2599" s="13" t="s">
        <v>3475</v>
      </c>
      <c r="E2599" s="13" t="s">
        <v>93</v>
      </c>
      <c r="F2599" s="13" t="s">
        <v>4664</v>
      </c>
      <c r="G2599" s="20" t="str">
        <f>HYPERLINK("https://semena-nn.ru/catalog/56/1121443","Фото")</f>
        <v>Фото</v>
      </c>
      <c r="H2599" s="19">
        <v>42.95</v>
      </c>
      <c r="I2599" s="27"/>
      <c r="J2599" s="13">
        <f>H2599*I2599</f>
        <v>0</v>
      </c>
    </row>
    <row r="2600" spans="1:10" ht="12" customHeight="1">
      <c r="A2600" s="13" t="s">
        <v>2215</v>
      </c>
      <c r="B2600" s="13" t="s">
        <v>2216</v>
      </c>
      <c r="C2600" s="13" t="s">
        <v>605</v>
      </c>
      <c r="D2600" s="13" t="s">
        <v>697</v>
      </c>
      <c r="E2600" s="13" t="s">
        <v>93</v>
      </c>
      <c r="F2600" s="17" t="s">
        <v>2217</v>
      </c>
      <c r="G2600" s="20" t="str">
        <f>HYPERLINK("http://semena-nn.ru/catalog/55/1114634","Фото")</f>
        <v>Фото</v>
      </c>
      <c r="H2600" s="18">
        <v>18.7</v>
      </c>
      <c r="I2600" s="27"/>
      <c r="J2600" s="13">
        <f>H2600*I2600</f>
        <v>0</v>
      </c>
    </row>
    <row r="2601" spans="1:10" ht="12" customHeight="1">
      <c r="A2601" s="13" t="s">
        <v>7708</v>
      </c>
      <c r="B2601" s="13" t="s">
        <v>7709</v>
      </c>
      <c r="C2601" s="13" t="s">
        <v>671</v>
      </c>
      <c r="D2601" s="13" t="s">
        <v>7148</v>
      </c>
      <c r="E2601" s="13" t="s">
        <v>93</v>
      </c>
      <c r="F2601" s="13" t="s">
        <v>7710</v>
      </c>
      <c r="G2601" s="20" t="str">
        <f>HYPERLINK("https://semena-nn.ru/catalog/56/999000005881","Фото")</f>
        <v>Фото</v>
      </c>
      <c r="H2601" s="18">
        <v>133.6</v>
      </c>
      <c r="I2601" s="27"/>
      <c r="J2601" s="13">
        <f>H2601*I2601</f>
        <v>0</v>
      </c>
    </row>
    <row r="2602" spans="1:10" ht="12" customHeight="1">
      <c r="A2602" s="13" t="s">
        <v>4665</v>
      </c>
      <c r="B2602" s="13" t="s">
        <v>4666</v>
      </c>
      <c r="C2602" s="13" t="s">
        <v>671</v>
      </c>
      <c r="D2602" s="13" t="s">
        <v>3475</v>
      </c>
      <c r="E2602" s="13" t="s">
        <v>93</v>
      </c>
      <c r="F2602" s="13" t="s">
        <v>4667</v>
      </c>
      <c r="G2602" s="20" t="str">
        <f>HYPERLINK("https://semena-nn.ru/catalog/56/1116814","Фото")</f>
        <v>Фото</v>
      </c>
      <c r="H2602" s="18">
        <v>18.7</v>
      </c>
      <c r="I2602" s="27"/>
      <c r="J2602" s="13">
        <f>H2602*I2602</f>
        <v>0</v>
      </c>
    </row>
    <row r="2603" spans="1:10" ht="12" customHeight="1">
      <c r="A2603" s="13" t="s">
        <v>2218</v>
      </c>
      <c r="B2603" s="13" t="s">
        <v>2219</v>
      </c>
      <c r="C2603" s="13" t="s">
        <v>605</v>
      </c>
      <c r="D2603" s="13" t="s">
        <v>697</v>
      </c>
      <c r="E2603" s="13" t="s">
        <v>93</v>
      </c>
      <c r="F2603" s="13" t="s">
        <v>2220</v>
      </c>
      <c r="G2603" s="20" t="str">
        <f>HYPERLINK("http://semena-nn.ru/catalog/55/1125957","Фото")</f>
        <v>Фото</v>
      </c>
      <c r="H2603" s="18">
        <v>24.1</v>
      </c>
      <c r="I2603" s="27"/>
      <c r="J2603" s="13">
        <f>H2603*I2603</f>
        <v>0</v>
      </c>
    </row>
    <row r="2604" spans="1:10" ht="12" customHeight="1">
      <c r="A2604" s="13" t="s">
        <v>4668</v>
      </c>
      <c r="B2604" s="13" t="s">
        <v>4669</v>
      </c>
      <c r="C2604" s="13" t="s">
        <v>605</v>
      </c>
      <c r="D2604" s="13" t="s">
        <v>3475</v>
      </c>
      <c r="E2604" s="13" t="s">
        <v>93</v>
      </c>
      <c r="F2604" s="13" t="s">
        <v>4670</v>
      </c>
      <c r="G2604" s="20" t="str">
        <f>HYPERLINK("https://semena-nn.ru/catalog/55/999000010504","Фото")</f>
        <v>Фото</v>
      </c>
      <c r="H2604" s="19">
        <v>34.65</v>
      </c>
      <c r="I2604" s="27"/>
      <c r="J2604" s="13">
        <f>H2604*I2604</f>
        <v>0</v>
      </c>
    </row>
    <row r="2605" spans="1:10" ht="12" customHeight="1">
      <c r="A2605" s="13" t="s">
        <v>4671</v>
      </c>
      <c r="B2605" s="13" t="s">
        <v>4672</v>
      </c>
      <c r="C2605" s="13" t="s">
        <v>605</v>
      </c>
      <c r="D2605" s="13" t="s">
        <v>3475</v>
      </c>
      <c r="E2605" s="13" t="s">
        <v>93</v>
      </c>
      <c r="F2605" s="13" t="s">
        <v>4673</v>
      </c>
      <c r="G2605" s="20" t="str">
        <f>HYPERLINK("https://semena-nn.ru/catalog/55/1116459","Фото")</f>
        <v>Фото</v>
      </c>
      <c r="H2605" s="18">
        <v>18.7</v>
      </c>
      <c r="I2605" s="27"/>
      <c r="J2605" s="13">
        <f>H2605*I2605</f>
        <v>0</v>
      </c>
    </row>
    <row r="2606" spans="1:10" ht="12" customHeight="1">
      <c r="A2606" s="13" t="s">
        <v>4674</v>
      </c>
      <c r="B2606" s="13" t="s">
        <v>4675</v>
      </c>
      <c r="C2606" s="13" t="s">
        <v>605</v>
      </c>
      <c r="D2606" s="13" t="s">
        <v>3475</v>
      </c>
      <c r="E2606" s="13" t="s">
        <v>93</v>
      </c>
      <c r="F2606" s="13" t="s">
        <v>4676</v>
      </c>
      <c r="G2606" s="20" t="str">
        <f>HYPERLINK("https://semena-nn.ru/catalog/55/999000005674","Фото")</f>
        <v>Фото</v>
      </c>
      <c r="H2606" s="18">
        <v>30.9</v>
      </c>
      <c r="I2606" s="27"/>
      <c r="J2606" s="13">
        <f>H2606*I2606</f>
        <v>0</v>
      </c>
    </row>
    <row r="2607" spans="1:10" ht="12" customHeight="1">
      <c r="A2607" s="13" t="s">
        <v>4677</v>
      </c>
      <c r="B2607" s="13" t="s">
        <v>4678</v>
      </c>
      <c r="C2607" s="13" t="s">
        <v>605</v>
      </c>
      <c r="D2607" s="13" t="s">
        <v>3475</v>
      </c>
      <c r="E2607" s="13" t="s">
        <v>93</v>
      </c>
      <c r="F2607" s="13" t="s">
        <v>4679</v>
      </c>
      <c r="G2607" s="20" t="str">
        <f>HYPERLINK("http://semena-nn.ru/catalog/55/999000004100","Фото")</f>
        <v>Фото</v>
      </c>
      <c r="H2607" s="18">
        <v>31.5</v>
      </c>
      <c r="I2607" s="27"/>
      <c r="J2607" s="13">
        <f>H2607*I2607</f>
        <v>0</v>
      </c>
    </row>
    <row r="2608" spans="1:10" ht="12" customHeight="1">
      <c r="A2608" s="13" t="s">
        <v>5980</v>
      </c>
      <c r="B2608" s="13" t="s">
        <v>5981</v>
      </c>
      <c r="C2608" s="13" t="s">
        <v>605</v>
      </c>
      <c r="D2608" s="13" t="s">
        <v>5834</v>
      </c>
      <c r="E2608" s="13" t="s">
        <v>93</v>
      </c>
      <c r="F2608" s="13" t="s">
        <v>5982</v>
      </c>
      <c r="G2608" s="20" t="str">
        <f>HYPERLINK("https://semena-nn.ru/catalog/55/888000001593","Фото")</f>
        <v>Фото</v>
      </c>
      <c r="H2608" s="19">
        <v>19.22</v>
      </c>
      <c r="I2608" s="27"/>
      <c r="J2608" s="13">
        <f>H2608*I2608</f>
        <v>0</v>
      </c>
    </row>
    <row r="2609" spans="1:10" ht="12" customHeight="1">
      <c r="A2609" s="13" t="s">
        <v>5983</v>
      </c>
      <c r="B2609" s="13" t="s">
        <v>5984</v>
      </c>
      <c r="C2609" s="13" t="s">
        <v>605</v>
      </c>
      <c r="D2609" s="13" t="s">
        <v>5834</v>
      </c>
      <c r="E2609" s="13" t="s">
        <v>93</v>
      </c>
      <c r="F2609" s="13" t="s">
        <v>5985</v>
      </c>
      <c r="G2609" s="20" t="str">
        <f>HYPERLINK("https://semena-nn.ru/catalog/55/888000001594","Фото")</f>
        <v>Фото</v>
      </c>
      <c r="H2609" s="19">
        <v>15.96</v>
      </c>
      <c r="I2609" s="27"/>
      <c r="J2609" s="13">
        <f>H2609*I2609</f>
        <v>0</v>
      </c>
    </row>
    <row r="2610" spans="1:10" ht="12" customHeight="1">
      <c r="A2610" s="13" t="s">
        <v>2221</v>
      </c>
      <c r="B2610" s="13" t="s">
        <v>2222</v>
      </c>
      <c r="C2610" s="13" t="s">
        <v>605</v>
      </c>
      <c r="D2610" s="13" t="s">
        <v>697</v>
      </c>
      <c r="E2610" s="13" t="s">
        <v>93</v>
      </c>
      <c r="F2610" s="13" t="s">
        <v>2223</v>
      </c>
      <c r="G2610" s="20" t="str">
        <f>HYPERLINK("https://semena-nn.ru/catalog/55/1299922","Фото")</f>
        <v>Фото</v>
      </c>
      <c r="H2610" s="18">
        <v>25.1</v>
      </c>
      <c r="I2610" s="27"/>
      <c r="J2610" s="13">
        <f>H2610*I2610</f>
        <v>0</v>
      </c>
    </row>
    <row r="2611" spans="1:10" ht="12" customHeight="1">
      <c r="A2611" s="13" t="s">
        <v>4680</v>
      </c>
      <c r="B2611" s="13" t="s">
        <v>4681</v>
      </c>
      <c r="C2611" s="13" t="s">
        <v>605</v>
      </c>
      <c r="D2611" s="13" t="s">
        <v>3475</v>
      </c>
      <c r="E2611" s="13" t="s">
        <v>93</v>
      </c>
      <c r="F2611" s="13" t="s">
        <v>4682</v>
      </c>
      <c r="G2611" s="20" t="str">
        <f>HYPERLINK("https://semena-nn.ru/catalog/55/1121455","Фото")</f>
        <v>Фото</v>
      </c>
      <c r="H2611" s="18">
        <v>18.7</v>
      </c>
      <c r="I2611" s="27"/>
      <c r="J2611" s="13">
        <f>H2611*I2611</f>
        <v>0</v>
      </c>
    </row>
    <row r="2612" spans="1:10" ht="12" customHeight="1">
      <c r="A2612" s="13" t="s">
        <v>6752</v>
      </c>
      <c r="B2612" s="13" t="s">
        <v>6753</v>
      </c>
      <c r="C2612" s="13" t="s">
        <v>605</v>
      </c>
      <c r="D2612" s="13" t="s">
        <v>87</v>
      </c>
      <c r="E2612" s="13" t="s">
        <v>93</v>
      </c>
      <c r="F2612" s="13" t="s">
        <v>6754</v>
      </c>
      <c r="G2612" s="20" t="str">
        <f>HYPERLINK("https://semena-nn.ru/catalog/55/104954","Фото")</f>
        <v>Фото</v>
      </c>
      <c r="H2612" s="18">
        <v>18.899999999999999</v>
      </c>
      <c r="I2612" s="27"/>
      <c r="J2612" s="13">
        <f>H2612*I2612</f>
        <v>0</v>
      </c>
    </row>
    <row r="2613" spans="1:10" ht="12" customHeight="1">
      <c r="A2613" s="13" t="s">
        <v>6755</v>
      </c>
      <c r="B2613" s="13" t="s">
        <v>6756</v>
      </c>
      <c r="C2613" s="13" t="s">
        <v>605</v>
      </c>
      <c r="D2613" s="13" t="s">
        <v>87</v>
      </c>
      <c r="E2613" s="13" t="s">
        <v>93</v>
      </c>
      <c r="F2613" s="13" t="s">
        <v>6757</v>
      </c>
      <c r="G2613" s="20" t="str">
        <f>HYPERLINK("https://semena-nn.ru/catalog/55/100337","Фото")</f>
        <v>Фото</v>
      </c>
      <c r="H2613" s="18">
        <v>18.899999999999999</v>
      </c>
      <c r="I2613" s="27"/>
      <c r="J2613" s="13">
        <f>H2613*I2613</f>
        <v>0</v>
      </c>
    </row>
    <row r="2614" spans="1:10" ht="12" customHeight="1">
      <c r="A2614" s="13" t="s">
        <v>4683</v>
      </c>
      <c r="B2614" s="13" t="s">
        <v>4684</v>
      </c>
      <c r="C2614" s="13" t="s">
        <v>605</v>
      </c>
      <c r="D2614" s="13" t="s">
        <v>3475</v>
      </c>
      <c r="E2614" s="13" t="s">
        <v>93</v>
      </c>
      <c r="F2614" s="13" t="s">
        <v>4685</v>
      </c>
      <c r="G2614" s="20" t="str">
        <f>HYPERLINK("https://semena-nn.ru/catalog/55/1125190","Фото")</f>
        <v>Фото</v>
      </c>
      <c r="H2614" s="18">
        <v>18.7</v>
      </c>
      <c r="I2614" s="27"/>
      <c r="J2614" s="13">
        <f>H2614*I2614</f>
        <v>0</v>
      </c>
    </row>
    <row r="2615" spans="1:10" ht="12" customHeight="1">
      <c r="A2615" s="13" t="s">
        <v>2224</v>
      </c>
      <c r="B2615" s="13" t="s">
        <v>2225</v>
      </c>
      <c r="C2615" s="13" t="s">
        <v>605</v>
      </c>
      <c r="D2615" s="13" t="s">
        <v>697</v>
      </c>
      <c r="E2615" s="13" t="s">
        <v>93</v>
      </c>
      <c r="F2615" s="13" t="s">
        <v>2226</v>
      </c>
      <c r="G2615" s="20" t="str">
        <f>HYPERLINK("https://semena-nn.ru/catalog/55/1125341","Фото")</f>
        <v>Фото</v>
      </c>
      <c r="H2615" s="18">
        <v>20.7</v>
      </c>
      <c r="I2615" s="27"/>
      <c r="J2615" s="13">
        <f>H2615*I2615</f>
        <v>0</v>
      </c>
    </row>
    <row r="2616" spans="1:10" ht="12" customHeight="1">
      <c r="A2616" s="13" t="s">
        <v>4686</v>
      </c>
      <c r="B2616" s="13" t="s">
        <v>4687</v>
      </c>
      <c r="C2616" s="13" t="s">
        <v>605</v>
      </c>
      <c r="D2616" s="13" t="s">
        <v>3475</v>
      </c>
      <c r="E2616" s="13" t="s">
        <v>93</v>
      </c>
      <c r="F2616" s="13" t="s">
        <v>4688</v>
      </c>
      <c r="G2616" s="20" t="str">
        <f>HYPERLINK("https://semena-nn.ru/catalog/55/1125192","Фото")</f>
        <v>Фото</v>
      </c>
      <c r="H2616" s="18">
        <v>18.7</v>
      </c>
      <c r="I2616" s="27"/>
      <c r="J2616" s="13">
        <f>H2616*I2616</f>
        <v>0</v>
      </c>
    </row>
    <row r="2617" spans="1:10" ht="12" customHeight="1">
      <c r="A2617" s="13" t="s">
        <v>6758</v>
      </c>
      <c r="B2617" s="13" t="s">
        <v>6759</v>
      </c>
      <c r="C2617" s="13" t="s">
        <v>605</v>
      </c>
      <c r="D2617" s="13" t="s">
        <v>87</v>
      </c>
      <c r="E2617" s="13" t="s">
        <v>93</v>
      </c>
      <c r="F2617" s="13" t="s">
        <v>6760</v>
      </c>
      <c r="G2617" s="20" t="str">
        <f>HYPERLINK("http://semena-nn.ru/catalog/55/100423","Фото")</f>
        <v>Фото</v>
      </c>
      <c r="H2617" s="15">
        <v>21</v>
      </c>
      <c r="I2617" s="27"/>
      <c r="J2617" s="13">
        <f>H2617*I2617</f>
        <v>0</v>
      </c>
    </row>
    <row r="2618" spans="1:10" ht="12" customHeight="1">
      <c r="A2618" s="13" t="s">
        <v>4689</v>
      </c>
      <c r="B2618" s="13" t="s">
        <v>4690</v>
      </c>
      <c r="C2618" s="13" t="s">
        <v>671</v>
      </c>
      <c r="D2618" s="13" t="s">
        <v>3475</v>
      </c>
      <c r="E2618" s="13" t="s">
        <v>93</v>
      </c>
      <c r="F2618" s="13" t="s">
        <v>4691</v>
      </c>
      <c r="G2618" s="20" t="str">
        <f>HYPERLINK("http://semena-nn.ru/catalog/56/1114548","Фото")</f>
        <v>Фото</v>
      </c>
      <c r="H2618" s="18">
        <v>18.7</v>
      </c>
      <c r="I2618" s="27"/>
      <c r="J2618" s="13">
        <f>H2618*I2618</f>
        <v>0</v>
      </c>
    </row>
    <row r="2619" spans="1:10" ht="12" customHeight="1">
      <c r="A2619" s="13" t="s">
        <v>4692</v>
      </c>
      <c r="B2619" s="13" t="s">
        <v>4693</v>
      </c>
      <c r="C2619" s="13" t="s">
        <v>671</v>
      </c>
      <c r="D2619" s="13" t="s">
        <v>3475</v>
      </c>
      <c r="E2619" s="13" t="s">
        <v>93</v>
      </c>
      <c r="F2619" s="13" t="s">
        <v>4694</v>
      </c>
      <c r="G2619" s="20" t="str">
        <f>HYPERLINK("https://semena-nn.ru/catalog/56/1314371","Фото")</f>
        <v>Фото</v>
      </c>
      <c r="H2619" s="19">
        <v>17.350000000000001</v>
      </c>
      <c r="I2619" s="27"/>
      <c r="J2619" s="13">
        <f>H2619*I2619</f>
        <v>0</v>
      </c>
    </row>
    <row r="2620" spans="1:10" ht="12" customHeight="1">
      <c r="A2620" s="13" t="s">
        <v>6761</v>
      </c>
      <c r="B2620" s="13" t="s">
        <v>6762</v>
      </c>
      <c r="C2620" s="13" t="s">
        <v>605</v>
      </c>
      <c r="D2620" s="13" t="s">
        <v>87</v>
      </c>
      <c r="E2620" s="13" t="s">
        <v>93</v>
      </c>
      <c r="F2620" s="13" t="s">
        <v>6763</v>
      </c>
      <c r="G2620" s="20" t="str">
        <f>HYPERLINK("https://semena-nn.ru/catalog/55/999000010553","Фото")</f>
        <v>Фото</v>
      </c>
      <c r="H2620" s="18">
        <v>25.2</v>
      </c>
      <c r="I2620" s="27"/>
      <c r="J2620" s="13">
        <f>H2620*I2620</f>
        <v>0</v>
      </c>
    </row>
    <row r="2621" spans="1:10" ht="12" customHeight="1">
      <c r="A2621" s="13" t="s">
        <v>6764</v>
      </c>
      <c r="B2621" s="13" t="s">
        <v>6765</v>
      </c>
      <c r="C2621" s="13" t="s">
        <v>605</v>
      </c>
      <c r="D2621" s="13" t="s">
        <v>87</v>
      </c>
      <c r="E2621" s="13" t="s">
        <v>93</v>
      </c>
      <c r="F2621" s="13" t="s">
        <v>6766</v>
      </c>
      <c r="G2621" s="20" t="str">
        <f>HYPERLINK("https://semena-nn.ru/catalog/55/999000013210","Фото")</f>
        <v>Фото</v>
      </c>
      <c r="H2621" s="19">
        <v>24.15</v>
      </c>
      <c r="I2621" s="27"/>
      <c r="J2621" s="13">
        <f>H2621*I2621</f>
        <v>0</v>
      </c>
    </row>
    <row r="2622" spans="1:10" ht="12" customHeight="1">
      <c r="A2622" s="13" t="s">
        <v>2227</v>
      </c>
      <c r="B2622" s="13" t="s">
        <v>2228</v>
      </c>
      <c r="C2622" s="13" t="s">
        <v>605</v>
      </c>
      <c r="D2622" s="13" t="s">
        <v>697</v>
      </c>
      <c r="E2622" s="13" t="s">
        <v>93</v>
      </c>
      <c r="F2622" s="13" t="s">
        <v>2229</v>
      </c>
      <c r="G2622" s="20" t="str">
        <f>HYPERLINK("http://semena-nn.ru/catalog/55/98719","Фото")</f>
        <v>Фото</v>
      </c>
      <c r="H2622" s="18">
        <v>28.6</v>
      </c>
      <c r="I2622" s="27"/>
      <c r="J2622" s="13">
        <f>H2622*I2622</f>
        <v>0</v>
      </c>
    </row>
    <row r="2623" spans="1:10" ht="12" customHeight="1">
      <c r="A2623" s="13" t="s">
        <v>4695</v>
      </c>
      <c r="B2623" s="13" t="s">
        <v>4696</v>
      </c>
      <c r="C2623" s="13" t="s">
        <v>605</v>
      </c>
      <c r="D2623" s="13" t="s">
        <v>3475</v>
      </c>
      <c r="E2623" s="13" t="s">
        <v>93</v>
      </c>
      <c r="F2623" s="13" t="s">
        <v>4697</v>
      </c>
      <c r="G2623" s="20" t="str">
        <f>HYPERLINK("https://semena-nn.ru/catalog/55/1307087","Фото")</f>
        <v>Фото</v>
      </c>
      <c r="H2623" s="18">
        <v>18.7</v>
      </c>
      <c r="I2623" s="27"/>
      <c r="J2623" s="13">
        <f>H2623*I2623</f>
        <v>0</v>
      </c>
    </row>
    <row r="2624" spans="1:10" ht="12" customHeight="1">
      <c r="A2624" s="13" t="s">
        <v>6767</v>
      </c>
      <c r="B2624" s="13" t="s">
        <v>6768</v>
      </c>
      <c r="C2624" s="13" t="s">
        <v>605</v>
      </c>
      <c r="D2624" s="13" t="s">
        <v>87</v>
      </c>
      <c r="E2624" s="13" t="s">
        <v>93</v>
      </c>
      <c r="F2624" s="13" t="s">
        <v>6769</v>
      </c>
      <c r="G2624" s="20" t="str">
        <f>HYPERLINK("https://semena-nn.ru/catalog/55/106614","Фото")</f>
        <v>Фото</v>
      </c>
      <c r="H2624" s="18">
        <v>18.899999999999999</v>
      </c>
      <c r="I2624" s="27"/>
      <c r="J2624" s="13">
        <f>H2624*I2624</f>
        <v>0</v>
      </c>
    </row>
    <row r="2625" spans="1:10" ht="12" customHeight="1">
      <c r="A2625" s="13" t="s">
        <v>5986</v>
      </c>
      <c r="B2625" s="13" t="s">
        <v>5987</v>
      </c>
      <c r="C2625" s="13" t="s">
        <v>605</v>
      </c>
      <c r="D2625" s="13" t="s">
        <v>5834</v>
      </c>
      <c r="E2625" s="13" t="s">
        <v>93</v>
      </c>
      <c r="F2625" s="13" t="s">
        <v>5988</v>
      </c>
      <c r="G2625" s="20" t="str">
        <f>HYPERLINK("https://semena-nn.ru/catalog/55/888000001598","Фото")</f>
        <v>Фото</v>
      </c>
      <c r="H2625" s="19">
        <v>20.95</v>
      </c>
      <c r="I2625" s="27"/>
      <c r="J2625" s="13">
        <f>H2625*I2625</f>
        <v>0</v>
      </c>
    </row>
    <row r="2626" spans="1:10" ht="12" customHeight="1">
      <c r="A2626" s="13" t="s">
        <v>4698</v>
      </c>
      <c r="B2626" s="13" t="s">
        <v>4699</v>
      </c>
      <c r="C2626" s="13" t="s">
        <v>605</v>
      </c>
      <c r="D2626" s="13" t="s">
        <v>3475</v>
      </c>
      <c r="E2626" s="13" t="s">
        <v>93</v>
      </c>
      <c r="F2626" s="13" t="s">
        <v>4700</v>
      </c>
      <c r="G2626" s="20" t="str">
        <f>HYPERLINK("https://semena-nn.ru/catalog/55/999000020018","Фото")</f>
        <v>Фото</v>
      </c>
      <c r="H2626" s="18">
        <v>18.7</v>
      </c>
      <c r="I2626" s="27"/>
      <c r="J2626" s="13">
        <f>H2626*I2626</f>
        <v>0</v>
      </c>
    </row>
    <row r="2627" spans="1:10" ht="12" customHeight="1">
      <c r="A2627" s="13" t="s">
        <v>6770</v>
      </c>
      <c r="B2627" s="13" t="s">
        <v>6771</v>
      </c>
      <c r="C2627" s="13" t="s">
        <v>605</v>
      </c>
      <c r="D2627" s="13" t="s">
        <v>87</v>
      </c>
      <c r="E2627" s="13" t="s">
        <v>93</v>
      </c>
      <c r="F2627" s="13" t="s">
        <v>6772</v>
      </c>
      <c r="G2627" s="20" t="str">
        <f>HYPERLINK("https://semena-nn.ru/catalog/55/999000012083","Фото")</f>
        <v>Фото</v>
      </c>
      <c r="H2627" s="19">
        <v>17.75</v>
      </c>
      <c r="I2627" s="27"/>
      <c r="J2627" s="13">
        <f>H2627*I2627</f>
        <v>0</v>
      </c>
    </row>
    <row r="2628" spans="1:10" ht="12" customHeight="1">
      <c r="A2628" s="13" t="s">
        <v>2230</v>
      </c>
      <c r="B2628" s="13" t="s">
        <v>2231</v>
      </c>
      <c r="C2628" s="13" t="s">
        <v>671</v>
      </c>
      <c r="D2628" s="13" t="s">
        <v>697</v>
      </c>
      <c r="E2628" s="13" t="s">
        <v>93</v>
      </c>
      <c r="F2628" s="13" t="s">
        <v>2232</v>
      </c>
      <c r="G2628" s="20" t="str">
        <f>HYPERLINK("https://semena-nn.ru/catalog/56/888000000892","Фото")</f>
        <v>Фото</v>
      </c>
      <c r="H2628" s="19">
        <v>27.25</v>
      </c>
      <c r="I2628" s="27"/>
      <c r="J2628" s="13">
        <f>H2628*I2628</f>
        <v>0</v>
      </c>
    </row>
    <row r="2629" spans="1:10" ht="12" customHeight="1">
      <c r="A2629" s="13" t="s">
        <v>2233</v>
      </c>
      <c r="B2629" s="13" t="s">
        <v>2234</v>
      </c>
      <c r="C2629" s="13" t="s">
        <v>671</v>
      </c>
      <c r="D2629" s="13" t="s">
        <v>697</v>
      </c>
      <c r="E2629" s="13" t="s">
        <v>93</v>
      </c>
      <c r="F2629" s="13" t="s">
        <v>2232</v>
      </c>
      <c r="G2629" s="20" t="str">
        <f>HYPERLINK("https://semena-nn.ru/catalog/56/888000000893","Фото")</f>
        <v>Фото</v>
      </c>
      <c r="H2629" s="19">
        <v>27.25</v>
      </c>
      <c r="I2629" s="27"/>
      <c r="J2629" s="13">
        <f>H2629*I2629</f>
        <v>0</v>
      </c>
    </row>
    <row r="2630" spans="1:10" ht="12" customHeight="1">
      <c r="A2630" s="13" t="s">
        <v>2235</v>
      </c>
      <c r="B2630" s="13" t="s">
        <v>2236</v>
      </c>
      <c r="C2630" s="13" t="s">
        <v>671</v>
      </c>
      <c r="D2630" s="13" t="s">
        <v>697</v>
      </c>
      <c r="E2630" s="13" t="s">
        <v>93</v>
      </c>
      <c r="F2630" s="13" t="s">
        <v>2232</v>
      </c>
      <c r="G2630" s="20" t="str">
        <f>HYPERLINK("https://semena-nn.ru/catalog/56/888000000894","Фото")</f>
        <v>Фото</v>
      </c>
      <c r="H2630" s="19">
        <v>27.25</v>
      </c>
      <c r="I2630" s="27"/>
      <c r="J2630" s="13">
        <f>H2630*I2630</f>
        <v>0</v>
      </c>
    </row>
    <row r="2631" spans="1:10" ht="12" customHeight="1">
      <c r="A2631" s="13" t="s">
        <v>2237</v>
      </c>
      <c r="B2631" s="13" t="s">
        <v>2238</v>
      </c>
      <c r="C2631" s="13" t="s">
        <v>671</v>
      </c>
      <c r="D2631" s="13" t="s">
        <v>697</v>
      </c>
      <c r="E2631" s="13" t="s">
        <v>93</v>
      </c>
      <c r="F2631" s="13" t="s">
        <v>2232</v>
      </c>
      <c r="G2631" s="20" t="str">
        <f>HYPERLINK("https://semena-nn.ru/catalog/56/888000000895","Фото")</f>
        <v>Фото</v>
      </c>
      <c r="H2631" s="19">
        <v>27.25</v>
      </c>
      <c r="I2631" s="27"/>
      <c r="J2631" s="13">
        <f>H2631*I2631</f>
        <v>0</v>
      </c>
    </row>
    <row r="2632" spans="1:10" ht="12" customHeight="1">
      <c r="A2632" s="13" t="s">
        <v>2239</v>
      </c>
      <c r="B2632" s="13" t="s">
        <v>2240</v>
      </c>
      <c r="C2632" s="13" t="s">
        <v>671</v>
      </c>
      <c r="D2632" s="13" t="s">
        <v>697</v>
      </c>
      <c r="E2632" s="13" t="s">
        <v>93</v>
      </c>
      <c r="F2632" s="13" t="s">
        <v>2241</v>
      </c>
      <c r="G2632" s="20" t="str">
        <f>HYPERLINK("https://semena-nn.ru/catalog/56/999000001845","Фото")</f>
        <v>Фото</v>
      </c>
      <c r="H2632" s="18">
        <v>20.5</v>
      </c>
      <c r="I2632" s="27"/>
      <c r="J2632" s="13">
        <f>H2632*I2632</f>
        <v>0</v>
      </c>
    </row>
    <row r="2633" spans="1:10" ht="12" customHeight="1">
      <c r="A2633" s="13" t="s">
        <v>4701</v>
      </c>
      <c r="B2633" s="13" t="s">
        <v>4702</v>
      </c>
      <c r="C2633" s="13" t="s">
        <v>671</v>
      </c>
      <c r="D2633" s="13" t="s">
        <v>3475</v>
      </c>
      <c r="E2633" s="13" t="s">
        <v>93</v>
      </c>
      <c r="F2633" s="13" t="s">
        <v>4703</v>
      </c>
      <c r="G2633" s="20" t="str">
        <f>HYPERLINK("http://semena-nn.ru/catalog/56/1125150","Фото")</f>
        <v>Фото</v>
      </c>
      <c r="H2633" s="18">
        <v>18.7</v>
      </c>
      <c r="I2633" s="27"/>
      <c r="J2633" s="13">
        <f>H2633*I2633</f>
        <v>0</v>
      </c>
    </row>
    <row r="2634" spans="1:10" ht="12" customHeight="1">
      <c r="A2634" s="13" t="s">
        <v>2242</v>
      </c>
      <c r="B2634" s="13" t="s">
        <v>2243</v>
      </c>
      <c r="C2634" s="13" t="s">
        <v>671</v>
      </c>
      <c r="D2634" s="13" t="s">
        <v>697</v>
      </c>
      <c r="E2634" s="13" t="s">
        <v>93</v>
      </c>
      <c r="F2634" s="13" t="s">
        <v>2244</v>
      </c>
      <c r="G2634" s="20" t="str">
        <f>HYPERLINK("http://semena-nn.ru/catalog/56/1127261","Фото")</f>
        <v>Фото</v>
      </c>
      <c r="H2634" s="18">
        <v>20.5</v>
      </c>
      <c r="I2634" s="27"/>
      <c r="J2634" s="13">
        <f>H2634*I2634</f>
        <v>0</v>
      </c>
    </row>
    <row r="2635" spans="1:10" ht="12" customHeight="1">
      <c r="A2635" s="13" t="s">
        <v>4704</v>
      </c>
      <c r="B2635" s="13" t="s">
        <v>4705</v>
      </c>
      <c r="C2635" s="13" t="s">
        <v>671</v>
      </c>
      <c r="D2635" s="13" t="s">
        <v>3475</v>
      </c>
      <c r="E2635" s="13" t="s">
        <v>93</v>
      </c>
      <c r="F2635" s="13" t="s">
        <v>4706</v>
      </c>
      <c r="G2635" s="20" t="str">
        <f>HYPERLINK("https://semena-nn.ru/catalog/55/999000012984","Фото")</f>
        <v>Фото</v>
      </c>
      <c r="H2635" s="15">
        <v>21</v>
      </c>
      <c r="I2635" s="27"/>
      <c r="J2635" s="13">
        <f>H2635*I2635</f>
        <v>0</v>
      </c>
    </row>
    <row r="2636" spans="1:10" ht="12" customHeight="1">
      <c r="A2636" s="13" t="s">
        <v>6773</v>
      </c>
      <c r="B2636" s="13" t="s">
        <v>6774</v>
      </c>
      <c r="C2636" s="13" t="s">
        <v>605</v>
      </c>
      <c r="D2636" s="13" t="s">
        <v>87</v>
      </c>
      <c r="E2636" s="13" t="s">
        <v>93</v>
      </c>
      <c r="F2636" s="13" t="s">
        <v>6775</v>
      </c>
      <c r="G2636" s="20" t="str">
        <f>HYPERLINK("https://semena-nn.ru/catalog/55/999000013211","Фото")</f>
        <v>Фото</v>
      </c>
      <c r="H2636" s="18">
        <v>20.5</v>
      </c>
      <c r="I2636" s="27"/>
      <c r="J2636" s="13">
        <f>H2636*I2636</f>
        <v>0</v>
      </c>
    </row>
    <row r="2637" spans="1:10" ht="12" customHeight="1">
      <c r="A2637" s="13" t="s">
        <v>5752</v>
      </c>
      <c r="B2637" s="13" t="s">
        <v>5753</v>
      </c>
      <c r="C2637" s="13" t="s">
        <v>605</v>
      </c>
      <c r="D2637" s="13" t="s">
        <v>5136</v>
      </c>
      <c r="E2637" s="13" t="s">
        <v>93</v>
      </c>
      <c r="F2637" s="13" t="s">
        <v>5754</v>
      </c>
      <c r="G2637" s="20" t="str">
        <f>HYPERLINK("https://semena-nn.ru/catalog/55/888000000074","Фото")</f>
        <v>Фото</v>
      </c>
      <c r="H2637" s="15">
        <v>35</v>
      </c>
      <c r="I2637" s="27"/>
      <c r="J2637" s="13">
        <f>H2637*I2637</f>
        <v>0</v>
      </c>
    </row>
    <row r="2638" spans="1:10" ht="12" customHeight="1">
      <c r="A2638" s="13" t="s">
        <v>6776</v>
      </c>
      <c r="B2638" s="13" t="s">
        <v>6777</v>
      </c>
      <c r="C2638" s="13" t="s">
        <v>605</v>
      </c>
      <c r="D2638" s="13" t="s">
        <v>87</v>
      </c>
      <c r="E2638" s="13" t="s">
        <v>93</v>
      </c>
      <c r="F2638" s="13" t="s">
        <v>6778</v>
      </c>
      <c r="G2638" s="20" t="str">
        <f>HYPERLINK("https://semena-nn.ru/catalog/55/1115842","Фото")</f>
        <v>Фото</v>
      </c>
      <c r="H2638" s="19">
        <v>28.35</v>
      </c>
      <c r="I2638" s="27"/>
      <c r="J2638" s="13">
        <f>H2638*I2638</f>
        <v>0</v>
      </c>
    </row>
    <row r="2639" spans="1:10" ht="12" customHeight="1">
      <c r="A2639" s="13" t="s">
        <v>5755</v>
      </c>
      <c r="B2639" s="13" t="s">
        <v>5756</v>
      </c>
      <c r="C2639" s="13" t="s">
        <v>605</v>
      </c>
      <c r="D2639" s="13" t="s">
        <v>5136</v>
      </c>
      <c r="E2639" s="13" t="s">
        <v>93</v>
      </c>
      <c r="F2639" s="13" t="s">
        <v>5754</v>
      </c>
      <c r="G2639" s="20" t="str">
        <f>HYPERLINK("https://semena-nn.ru/catalog/55/888000000075","Фото")</f>
        <v>Фото</v>
      </c>
      <c r="H2639" s="15">
        <v>40</v>
      </c>
      <c r="I2639" s="27"/>
      <c r="J2639" s="13">
        <f>H2639*I2639</f>
        <v>0</v>
      </c>
    </row>
    <row r="2640" spans="1:10" ht="12" customHeight="1">
      <c r="A2640" s="13" t="s">
        <v>2245</v>
      </c>
      <c r="B2640" s="13" t="s">
        <v>2246</v>
      </c>
      <c r="C2640" s="13" t="s">
        <v>671</v>
      </c>
      <c r="D2640" s="13" t="s">
        <v>697</v>
      </c>
      <c r="E2640" s="13" t="s">
        <v>93</v>
      </c>
      <c r="F2640" s="13" t="s">
        <v>2247</v>
      </c>
      <c r="G2640" s="20" t="str">
        <f>HYPERLINK("https://semena-nn.ru/catalog/56/888000000456","Фото")</f>
        <v>Фото</v>
      </c>
      <c r="H2640" s="15">
        <v>49</v>
      </c>
      <c r="I2640" s="27"/>
      <c r="J2640" s="13">
        <f>H2640*I2640</f>
        <v>0</v>
      </c>
    </row>
    <row r="2641" spans="1:10" ht="12" customHeight="1">
      <c r="A2641" s="13" t="s">
        <v>4707</v>
      </c>
      <c r="B2641" s="13" t="s">
        <v>4708</v>
      </c>
      <c r="C2641" s="13" t="s">
        <v>671</v>
      </c>
      <c r="D2641" s="13" t="s">
        <v>3475</v>
      </c>
      <c r="E2641" s="13" t="s">
        <v>93</v>
      </c>
      <c r="F2641" s="13" t="s">
        <v>4709</v>
      </c>
      <c r="G2641" s="20" t="str">
        <f>HYPERLINK("https://semena-nn.ru/catalog/56/999000008179","Фото")</f>
        <v>Фото</v>
      </c>
      <c r="H2641" s="18">
        <v>18.7</v>
      </c>
      <c r="I2641" s="27"/>
      <c r="J2641" s="13">
        <f>H2641*I2641</f>
        <v>0</v>
      </c>
    </row>
    <row r="2642" spans="1:10" ht="12" customHeight="1">
      <c r="A2642" s="13" t="s">
        <v>5757</v>
      </c>
      <c r="B2642" s="13" t="s">
        <v>5758</v>
      </c>
      <c r="C2642" s="13" t="s">
        <v>671</v>
      </c>
      <c r="D2642" s="13" t="s">
        <v>5136</v>
      </c>
      <c r="E2642" s="13" t="s">
        <v>93</v>
      </c>
      <c r="F2642" s="13" t="s">
        <v>5759</v>
      </c>
      <c r="G2642" s="20" t="str">
        <f>HYPERLINK("https://semena-nn.ru/catalog/56/888000000076","Фото")</f>
        <v>Фото</v>
      </c>
      <c r="H2642" s="15">
        <v>42</v>
      </c>
      <c r="I2642" s="27"/>
      <c r="J2642" s="13">
        <f>H2642*I2642</f>
        <v>0</v>
      </c>
    </row>
    <row r="2643" spans="1:10" ht="12" customHeight="1">
      <c r="A2643" s="13" t="s">
        <v>5760</v>
      </c>
      <c r="B2643" s="13" t="s">
        <v>5761</v>
      </c>
      <c r="C2643" s="13" t="s">
        <v>671</v>
      </c>
      <c r="D2643" s="13" t="s">
        <v>5136</v>
      </c>
      <c r="E2643" s="13" t="s">
        <v>93</v>
      </c>
      <c r="F2643" s="13" t="s">
        <v>5759</v>
      </c>
      <c r="G2643" s="20" t="str">
        <f>HYPERLINK("https://semena-nn.ru/catalog/56/999000013270","Фото")</f>
        <v>Фото</v>
      </c>
      <c r="H2643" s="15">
        <v>48</v>
      </c>
      <c r="I2643" s="27"/>
      <c r="J2643" s="13">
        <f>H2643*I2643</f>
        <v>0</v>
      </c>
    </row>
    <row r="2644" spans="1:10" ht="12" customHeight="1">
      <c r="A2644" s="13" t="s">
        <v>7711</v>
      </c>
      <c r="B2644" s="13" t="s">
        <v>7712</v>
      </c>
      <c r="C2644" s="13" t="s">
        <v>671</v>
      </c>
      <c r="D2644" s="13" t="s">
        <v>7148</v>
      </c>
      <c r="E2644" s="13" t="s">
        <v>93</v>
      </c>
      <c r="F2644" s="13" t="s">
        <v>7713</v>
      </c>
      <c r="G2644" s="20" t="str">
        <f>HYPERLINK("https://semena-nn.ru/catalog/56/999000019669","Фото")</f>
        <v>Фото</v>
      </c>
      <c r="H2644" s="18">
        <v>99.6</v>
      </c>
      <c r="I2644" s="27"/>
      <c r="J2644" s="13">
        <f>H2644*I2644</f>
        <v>0</v>
      </c>
    </row>
    <row r="2645" spans="1:10" ht="12" customHeight="1">
      <c r="A2645" s="13" t="s">
        <v>5762</v>
      </c>
      <c r="B2645" s="13" t="s">
        <v>5763</v>
      </c>
      <c r="C2645" s="13" t="s">
        <v>671</v>
      </c>
      <c r="D2645" s="13" t="s">
        <v>5136</v>
      </c>
      <c r="E2645" s="13" t="s">
        <v>93</v>
      </c>
      <c r="F2645" s="13" t="s">
        <v>5764</v>
      </c>
      <c r="G2645" s="20" t="str">
        <f>HYPERLINK("https://semena-nn.ru/catalog/56/999000013271","Фото")</f>
        <v>Фото</v>
      </c>
      <c r="H2645" s="15">
        <v>57</v>
      </c>
      <c r="I2645" s="27"/>
      <c r="J2645" s="13">
        <f>H2645*I2645</f>
        <v>0</v>
      </c>
    </row>
    <row r="2646" spans="1:10" ht="12" customHeight="1">
      <c r="A2646" s="13" t="s">
        <v>2248</v>
      </c>
      <c r="B2646" s="13" t="s">
        <v>2249</v>
      </c>
      <c r="C2646" s="13" t="s">
        <v>624</v>
      </c>
      <c r="D2646" s="13" t="s">
        <v>697</v>
      </c>
      <c r="E2646" s="13" t="s">
        <v>93</v>
      </c>
      <c r="F2646" s="13" t="s">
        <v>2250</v>
      </c>
      <c r="G2646" s="20" t="str">
        <f>HYPERLINK("http://semena-nn.ru/catalog/57/97492","Фото")</f>
        <v>Фото</v>
      </c>
      <c r="H2646" s="18">
        <v>30.4</v>
      </c>
      <c r="I2646" s="27"/>
      <c r="J2646" s="13">
        <f>H2646*I2646</f>
        <v>0</v>
      </c>
    </row>
    <row r="2647" spans="1:10" ht="12" customHeight="1">
      <c r="A2647" s="13" t="s">
        <v>4710</v>
      </c>
      <c r="B2647" s="13" t="s">
        <v>4711</v>
      </c>
      <c r="C2647" s="13" t="s">
        <v>605</v>
      </c>
      <c r="D2647" s="13" t="s">
        <v>3475</v>
      </c>
      <c r="E2647" s="13" t="s">
        <v>93</v>
      </c>
      <c r="F2647" s="13" t="s">
        <v>4712</v>
      </c>
      <c r="G2647" s="20" t="str">
        <f>HYPERLINK("https://semena-nn.ru/catalog/55/999000003892","Фото")</f>
        <v>Фото</v>
      </c>
      <c r="H2647" s="19">
        <v>164.85</v>
      </c>
      <c r="I2647" s="27"/>
      <c r="J2647" s="13">
        <f>H2647*I2647</f>
        <v>0</v>
      </c>
    </row>
    <row r="2648" spans="1:10" ht="12" customHeight="1">
      <c r="A2648" s="13" t="s">
        <v>639</v>
      </c>
      <c r="B2648" s="13" t="s">
        <v>640</v>
      </c>
      <c r="C2648" s="13" t="s">
        <v>605</v>
      </c>
      <c r="D2648" s="13" t="s">
        <v>28</v>
      </c>
      <c r="E2648" s="13" t="s">
        <v>93</v>
      </c>
      <c r="F2648" s="13" t="s">
        <v>641</v>
      </c>
      <c r="G2648" s="20" t="str">
        <f>HYPERLINK("https://semena-nn.ru/catalog/55/999000012987","Фото")</f>
        <v>Фото</v>
      </c>
      <c r="H2648" s="19">
        <v>112.25</v>
      </c>
      <c r="I2648" s="27"/>
      <c r="J2648" s="13">
        <f>H2648*I2648</f>
        <v>0</v>
      </c>
    </row>
    <row r="2649" spans="1:10" ht="12" customHeight="1">
      <c r="A2649" s="13" t="s">
        <v>642</v>
      </c>
      <c r="B2649" s="13" t="s">
        <v>643</v>
      </c>
      <c r="C2649" s="13" t="s">
        <v>605</v>
      </c>
      <c r="D2649" s="13" t="s">
        <v>28</v>
      </c>
      <c r="E2649" s="13" t="s">
        <v>93</v>
      </c>
      <c r="F2649" s="13" t="s">
        <v>644</v>
      </c>
      <c r="G2649" s="20" t="str">
        <f>HYPERLINK("https://semena-nn.ru/catalog/55/999000020915","Фото")</f>
        <v>Фото</v>
      </c>
      <c r="H2649" s="19">
        <v>112.25</v>
      </c>
      <c r="I2649" s="27"/>
      <c r="J2649" s="13">
        <f>H2649*I2649</f>
        <v>0</v>
      </c>
    </row>
    <row r="2650" spans="1:10" ht="12" customHeight="1">
      <c r="A2650" s="13" t="s">
        <v>4713</v>
      </c>
      <c r="B2650" s="13" t="s">
        <v>4714</v>
      </c>
      <c r="C2650" s="13" t="s">
        <v>624</v>
      </c>
      <c r="D2650" s="13" t="s">
        <v>3475</v>
      </c>
      <c r="E2650" s="13" t="s">
        <v>93</v>
      </c>
      <c r="F2650" s="13" t="s">
        <v>4715</v>
      </c>
      <c r="G2650" s="20" t="str">
        <f>HYPERLINK("https://semena-nn.ru/catalog/57/1119481","Фото")</f>
        <v>Фото</v>
      </c>
      <c r="H2650" s="19">
        <v>101.85</v>
      </c>
      <c r="I2650" s="27"/>
      <c r="J2650" s="13">
        <f>H2650*I2650</f>
        <v>0</v>
      </c>
    </row>
    <row r="2651" spans="1:10" ht="12" customHeight="1">
      <c r="A2651" s="13" t="s">
        <v>4716</v>
      </c>
      <c r="B2651" s="13" t="s">
        <v>4717</v>
      </c>
      <c r="C2651" s="13" t="s">
        <v>624</v>
      </c>
      <c r="D2651" s="13" t="s">
        <v>3475</v>
      </c>
      <c r="E2651" s="13" t="s">
        <v>93</v>
      </c>
      <c r="F2651" s="13" t="s">
        <v>4718</v>
      </c>
      <c r="G2651" s="20" t="str">
        <f>HYPERLINK("https://semena-nn.ru/catalog/57/1282312","Фото")</f>
        <v>Фото</v>
      </c>
      <c r="H2651" s="19">
        <v>106.05</v>
      </c>
      <c r="I2651" s="27"/>
      <c r="J2651" s="13">
        <f>H2651*I2651</f>
        <v>0</v>
      </c>
    </row>
    <row r="2652" spans="1:10" ht="12" customHeight="1">
      <c r="A2652" s="13" t="s">
        <v>6421</v>
      </c>
      <c r="B2652" s="13" t="s">
        <v>6422</v>
      </c>
      <c r="C2652" s="13" t="s">
        <v>624</v>
      </c>
      <c r="D2652" s="13" t="s">
        <v>6407</v>
      </c>
      <c r="E2652" s="13" t="s">
        <v>93</v>
      </c>
      <c r="F2652" s="13" t="s">
        <v>6423</v>
      </c>
      <c r="G2652" s="20" t="str">
        <f>HYPERLINK("https://semena-nn.ru/catalog/57/1303423","Фото")</f>
        <v>Фото</v>
      </c>
      <c r="H2652" s="19">
        <v>75.48</v>
      </c>
      <c r="I2652" s="27"/>
      <c r="J2652" s="13">
        <f>H2652*I2652</f>
        <v>0</v>
      </c>
    </row>
    <row r="2653" spans="1:10" ht="12" customHeight="1">
      <c r="A2653" s="13" t="s">
        <v>4719</v>
      </c>
      <c r="B2653" s="13" t="s">
        <v>4720</v>
      </c>
      <c r="C2653" s="13" t="s">
        <v>624</v>
      </c>
      <c r="D2653" s="13" t="s">
        <v>3475</v>
      </c>
      <c r="E2653" s="13" t="s">
        <v>93</v>
      </c>
      <c r="F2653" s="13" t="s">
        <v>4721</v>
      </c>
      <c r="G2653" s="20" t="str">
        <f>HYPERLINK("https://semena-nn.ru/catalog/57/1118666","Фото")</f>
        <v>Фото</v>
      </c>
      <c r="H2653" s="18">
        <v>92.4</v>
      </c>
      <c r="I2653" s="27"/>
      <c r="J2653" s="13">
        <f>H2653*I2653</f>
        <v>0</v>
      </c>
    </row>
    <row r="2654" spans="1:10" ht="12" customHeight="1">
      <c r="A2654" s="13" t="s">
        <v>2251</v>
      </c>
      <c r="B2654" s="13" t="s">
        <v>2252</v>
      </c>
      <c r="C2654" s="13" t="s">
        <v>624</v>
      </c>
      <c r="D2654" s="13" t="s">
        <v>697</v>
      </c>
      <c r="E2654" s="13" t="s">
        <v>93</v>
      </c>
      <c r="F2654" s="17" t="s">
        <v>2253</v>
      </c>
      <c r="G2654" s="20" t="str">
        <f>HYPERLINK("https://semena-nn.ru/catalog/57/1306071","Фото")</f>
        <v>Фото</v>
      </c>
      <c r="H2654" s="18">
        <v>111.1</v>
      </c>
      <c r="I2654" s="27"/>
      <c r="J2654" s="13">
        <f>H2654*I2654</f>
        <v>0</v>
      </c>
    </row>
    <row r="2655" spans="1:10" ht="12" customHeight="1">
      <c r="A2655" s="13" t="s">
        <v>7714</v>
      </c>
      <c r="B2655" s="13" t="s">
        <v>7715</v>
      </c>
      <c r="C2655" s="13" t="s">
        <v>671</v>
      </c>
      <c r="D2655" s="13" t="s">
        <v>7148</v>
      </c>
      <c r="E2655" s="13" t="s">
        <v>93</v>
      </c>
      <c r="F2655" s="13" t="s">
        <v>7716</v>
      </c>
      <c r="G2655" s="20" t="str">
        <f>HYPERLINK("https://semena-nn.ru/catalog/56/999000001268","Фото")</f>
        <v>Фото</v>
      </c>
      <c r="H2655" s="18">
        <v>85.7</v>
      </c>
      <c r="I2655" s="27"/>
      <c r="J2655" s="13">
        <f>H2655*I2655</f>
        <v>0</v>
      </c>
    </row>
    <row r="2656" spans="1:10" ht="12" customHeight="1">
      <c r="A2656" s="13" t="s">
        <v>2254</v>
      </c>
      <c r="B2656" s="13" t="s">
        <v>2255</v>
      </c>
      <c r="C2656" s="13" t="s">
        <v>671</v>
      </c>
      <c r="D2656" s="13" t="s">
        <v>697</v>
      </c>
      <c r="E2656" s="13" t="s">
        <v>93</v>
      </c>
      <c r="F2656" s="13" t="s">
        <v>2256</v>
      </c>
      <c r="G2656" s="20" t="str">
        <f>HYPERLINK("https://semena-nn.ru/catalog/56/1123174","Фото")</f>
        <v>Фото</v>
      </c>
      <c r="H2656" s="15">
        <v>25</v>
      </c>
      <c r="I2656" s="27"/>
      <c r="J2656" s="13">
        <f>H2656*I2656</f>
        <v>0</v>
      </c>
    </row>
    <row r="2657" spans="1:10" ht="12" customHeight="1">
      <c r="A2657" s="13" t="s">
        <v>5765</v>
      </c>
      <c r="B2657" s="13" t="s">
        <v>5766</v>
      </c>
      <c r="C2657" s="13" t="s">
        <v>605</v>
      </c>
      <c r="D2657" s="13" t="s">
        <v>5136</v>
      </c>
      <c r="E2657" s="13" t="s">
        <v>93</v>
      </c>
      <c r="F2657" s="13" t="s">
        <v>5767</v>
      </c>
      <c r="G2657" s="20" t="str">
        <f>HYPERLINK("https://semena-nn.ru/catalog/55/888000000077","Фото")</f>
        <v>Фото</v>
      </c>
      <c r="H2657" s="15">
        <v>189</v>
      </c>
      <c r="I2657" s="27"/>
      <c r="J2657" s="13">
        <f>H2657*I2657</f>
        <v>0</v>
      </c>
    </row>
    <row r="2658" spans="1:10" ht="12" customHeight="1">
      <c r="A2658" s="13" t="s">
        <v>5768</v>
      </c>
      <c r="B2658" s="13" t="s">
        <v>5769</v>
      </c>
      <c r="C2658" s="13" t="s">
        <v>605</v>
      </c>
      <c r="D2658" s="13" t="s">
        <v>5136</v>
      </c>
      <c r="E2658" s="13" t="s">
        <v>93</v>
      </c>
      <c r="F2658" s="13" t="s">
        <v>5767</v>
      </c>
      <c r="G2658" s="20" t="str">
        <f>HYPERLINK("https://semena-nn.ru/catalog/55/888000000078","Фото")</f>
        <v>Фото</v>
      </c>
      <c r="H2658" s="15">
        <v>174</v>
      </c>
      <c r="I2658" s="27"/>
      <c r="J2658" s="13">
        <f>H2658*I2658</f>
        <v>0</v>
      </c>
    </row>
    <row r="2659" spans="1:10" ht="12" customHeight="1">
      <c r="A2659" s="13" t="s">
        <v>2257</v>
      </c>
      <c r="B2659" s="13" t="s">
        <v>2258</v>
      </c>
      <c r="C2659" s="13" t="s">
        <v>605</v>
      </c>
      <c r="D2659" s="13" t="s">
        <v>697</v>
      </c>
      <c r="E2659" s="13" t="s">
        <v>93</v>
      </c>
      <c r="F2659" s="13" t="s">
        <v>2259</v>
      </c>
      <c r="G2659" s="20" t="str">
        <f>HYPERLINK("http://semena-nn.ru/catalog/55/999000001846","Фото")</f>
        <v>Фото</v>
      </c>
      <c r="H2659" s="19">
        <v>37.35</v>
      </c>
      <c r="I2659" s="27"/>
      <c r="J2659" s="13">
        <f>H2659*I2659</f>
        <v>0</v>
      </c>
    </row>
    <row r="2660" spans="1:10" ht="12" customHeight="1">
      <c r="A2660" s="13" t="s">
        <v>2260</v>
      </c>
      <c r="B2660" s="13" t="s">
        <v>2261</v>
      </c>
      <c r="C2660" s="13" t="s">
        <v>605</v>
      </c>
      <c r="D2660" s="13" t="s">
        <v>697</v>
      </c>
      <c r="E2660" s="13" t="s">
        <v>93</v>
      </c>
      <c r="F2660" s="13" t="s">
        <v>2262</v>
      </c>
      <c r="G2660" s="20" t="str">
        <f>HYPERLINK("https://semena-nn.ru/catalog/55/999000002324","Фото")</f>
        <v>Фото</v>
      </c>
      <c r="H2660" s="18">
        <v>63.6</v>
      </c>
      <c r="I2660" s="27"/>
      <c r="J2660" s="13">
        <f>H2660*I2660</f>
        <v>0</v>
      </c>
    </row>
    <row r="2661" spans="1:10" ht="12" customHeight="1">
      <c r="A2661" s="13" t="s">
        <v>2263</v>
      </c>
      <c r="B2661" s="13" t="s">
        <v>2264</v>
      </c>
      <c r="C2661" s="13" t="s">
        <v>605</v>
      </c>
      <c r="D2661" s="13" t="s">
        <v>697</v>
      </c>
      <c r="E2661" s="13" t="s">
        <v>93</v>
      </c>
      <c r="F2661" s="13" t="s">
        <v>2265</v>
      </c>
      <c r="G2661" s="20" t="str">
        <f>HYPERLINK("https://semena-nn.ru/catalog/55/1298519","Фото")</f>
        <v>Фото</v>
      </c>
      <c r="H2661" s="18">
        <v>42.4</v>
      </c>
      <c r="I2661" s="27"/>
      <c r="J2661" s="13">
        <f>H2661*I2661</f>
        <v>0</v>
      </c>
    </row>
    <row r="2662" spans="1:10" ht="12" customHeight="1">
      <c r="A2662" s="13" t="s">
        <v>2266</v>
      </c>
      <c r="B2662" s="13" t="s">
        <v>2267</v>
      </c>
      <c r="C2662" s="13" t="s">
        <v>605</v>
      </c>
      <c r="D2662" s="13" t="s">
        <v>697</v>
      </c>
      <c r="E2662" s="13" t="s">
        <v>93</v>
      </c>
      <c r="F2662" s="13" t="s">
        <v>2268</v>
      </c>
      <c r="G2662" s="20" t="str">
        <f>HYPERLINK("https://semena-nn.ru/catalog/55/999000009218","Фото")</f>
        <v>Фото</v>
      </c>
      <c r="H2662" s="18">
        <v>65.7</v>
      </c>
      <c r="I2662" s="27"/>
      <c r="J2662" s="13">
        <f>H2662*I2662</f>
        <v>0</v>
      </c>
    </row>
    <row r="2663" spans="1:10" ht="12" customHeight="1">
      <c r="A2663" s="13" t="s">
        <v>5770</v>
      </c>
      <c r="B2663" s="13" t="s">
        <v>5771</v>
      </c>
      <c r="C2663" s="13" t="s">
        <v>605</v>
      </c>
      <c r="D2663" s="13" t="s">
        <v>5136</v>
      </c>
      <c r="E2663" s="13" t="s">
        <v>93</v>
      </c>
      <c r="F2663" s="13" t="s">
        <v>5772</v>
      </c>
      <c r="G2663" s="20" t="str">
        <f>HYPERLINK("https://semena-nn.ru/catalog/55/888000007457","Фото")</f>
        <v>Фото</v>
      </c>
      <c r="H2663" s="15">
        <v>80</v>
      </c>
      <c r="I2663" s="27"/>
      <c r="J2663" s="13">
        <f>H2663*I2663</f>
        <v>0</v>
      </c>
    </row>
    <row r="2664" spans="1:10" ht="12" customHeight="1">
      <c r="A2664" s="13" t="s">
        <v>7131</v>
      </c>
      <c r="B2664" s="13" t="s">
        <v>7132</v>
      </c>
      <c r="C2664" s="13" t="s">
        <v>605</v>
      </c>
      <c r="D2664" s="13" t="s">
        <v>6927</v>
      </c>
      <c r="E2664" s="13" t="s">
        <v>93</v>
      </c>
      <c r="F2664" s="13" t="s">
        <v>7133</v>
      </c>
      <c r="G2664" s="20" t="str">
        <f>HYPERLINK("http://semena-nn.ru/catalog/55/1310734","Фото")</f>
        <v>Фото</v>
      </c>
      <c r="H2664" s="18">
        <v>52.9</v>
      </c>
      <c r="I2664" s="27"/>
      <c r="J2664" s="13">
        <f>H2664*I2664</f>
        <v>0</v>
      </c>
    </row>
    <row r="2665" spans="1:10" ht="12" customHeight="1">
      <c r="A2665" s="13" t="s">
        <v>2269</v>
      </c>
      <c r="B2665" s="13" t="s">
        <v>2270</v>
      </c>
      <c r="C2665" s="13" t="s">
        <v>605</v>
      </c>
      <c r="D2665" s="13" t="s">
        <v>697</v>
      </c>
      <c r="E2665" s="13" t="s">
        <v>93</v>
      </c>
      <c r="F2665" s="13" t="s">
        <v>2271</v>
      </c>
      <c r="G2665" s="20" t="str">
        <f>HYPERLINK("https://semena-nn.ru/catalog/55/999000000587","Фото")</f>
        <v>Фото</v>
      </c>
      <c r="H2665" s="19">
        <v>60.15</v>
      </c>
      <c r="I2665" s="27"/>
      <c r="J2665" s="13">
        <f>H2665*I2665</f>
        <v>0</v>
      </c>
    </row>
    <row r="2666" spans="1:10" ht="12" customHeight="1">
      <c r="A2666" s="13" t="s">
        <v>2272</v>
      </c>
      <c r="B2666" s="13" t="s">
        <v>2273</v>
      </c>
      <c r="C2666" s="13" t="s">
        <v>605</v>
      </c>
      <c r="D2666" s="13" t="s">
        <v>697</v>
      </c>
      <c r="E2666" s="13" t="s">
        <v>93</v>
      </c>
      <c r="F2666" s="13" t="s">
        <v>2274</v>
      </c>
      <c r="G2666" s="20" t="str">
        <f>HYPERLINK("https://semena-nn.ru/catalog/55/888000007527","Фото")</f>
        <v>Фото</v>
      </c>
      <c r="H2666" s="18">
        <v>43.3</v>
      </c>
      <c r="I2666" s="27"/>
      <c r="J2666" s="13">
        <f>H2666*I2666</f>
        <v>0</v>
      </c>
    </row>
    <row r="2667" spans="1:10" ht="12" customHeight="1">
      <c r="A2667" s="13" t="s">
        <v>2275</v>
      </c>
      <c r="B2667" s="13" t="s">
        <v>2276</v>
      </c>
      <c r="C2667" s="13" t="s">
        <v>605</v>
      </c>
      <c r="D2667" s="13" t="s">
        <v>697</v>
      </c>
      <c r="E2667" s="13" t="s">
        <v>93</v>
      </c>
      <c r="F2667" s="13" t="s">
        <v>2274</v>
      </c>
      <c r="G2667" s="20" t="str">
        <f>HYPERLINK("https://semena-nn.ru/catalog/55/888000007528","Фото")</f>
        <v>Фото</v>
      </c>
      <c r="H2667" s="18">
        <v>43.3</v>
      </c>
      <c r="I2667" s="27"/>
      <c r="J2667" s="13">
        <f>H2667*I2667</f>
        <v>0</v>
      </c>
    </row>
    <row r="2668" spans="1:10" ht="12" customHeight="1">
      <c r="A2668" s="13" t="s">
        <v>2277</v>
      </c>
      <c r="B2668" s="13" t="s">
        <v>2278</v>
      </c>
      <c r="C2668" s="13" t="s">
        <v>605</v>
      </c>
      <c r="D2668" s="13" t="s">
        <v>697</v>
      </c>
      <c r="E2668" s="13" t="s">
        <v>93</v>
      </c>
      <c r="F2668" s="13" t="s">
        <v>2274</v>
      </c>
      <c r="G2668" s="20" t="str">
        <f>HYPERLINK("https://semena-nn.ru/catalog/55/888000007529","Фото")</f>
        <v>Фото</v>
      </c>
      <c r="H2668" s="18">
        <v>43.3</v>
      </c>
      <c r="I2668" s="27"/>
      <c r="J2668" s="13">
        <f>H2668*I2668</f>
        <v>0</v>
      </c>
    </row>
    <row r="2669" spans="1:10" ht="12" customHeight="1">
      <c r="A2669" s="13" t="s">
        <v>2279</v>
      </c>
      <c r="B2669" s="13" t="s">
        <v>2280</v>
      </c>
      <c r="C2669" s="13" t="s">
        <v>605</v>
      </c>
      <c r="D2669" s="13" t="s">
        <v>697</v>
      </c>
      <c r="E2669" s="13" t="s">
        <v>93</v>
      </c>
      <c r="F2669" s="13" t="s">
        <v>2274</v>
      </c>
      <c r="G2669" s="20" t="str">
        <f>HYPERLINK("https://semena-nn.ru/catalog/55/888000007530","Фото")</f>
        <v>Фото</v>
      </c>
      <c r="H2669" s="18">
        <v>43.3</v>
      </c>
      <c r="I2669" s="27"/>
      <c r="J2669" s="13">
        <f>H2669*I2669</f>
        <v>0</v>
      </c>
    </row>
    <row r="2670" spans="1:10" ht="12" customHeight="1">
      <c r="A2670" s="13" t="s">
        <v>4722</v>
      </c>
      <c r="B2670" s="13" t="s">
        <v>4723</v>
      </c>
      <c r="C2670" s="13" t="s">
        <v>605</v>
      </c>
      <c r="D2670" s="13" t="s">
        <v>3475</v>
      </c>
      <c r="E2670" s="13" t="s">
        <v>93</v>
      </c>
      <c r="F2670" s="13" t="s">
        <v>4724</v>
      </c>
      <c r="G2670" s="20" t="str">
        <f>HYPERLINK("https://semena-nn.ru/catalog/55/999000006187","Фото")</f>
        <v>Фото</v>
      </c>
      <c r="H2670" s="19">
        <v>40.950000000000003</v>
      </c>
      <c r="I2670" s="27"/>
      <c r="J2670" s="13">
        <f>H2670*I2670</f>
        <v>0</v>
      </c>
    </row>
    <row r="2671" spans="1:10" ht="12" customHeight="1">
      <c r="A2671" s="13" t="s">
        <v>4725</v>
      </c>
      <c r="B2671" s="13" t="s">
        <v>4726</v>
      </c>
      <c r="C2671" s="13" t="s">
        <v>605</v>
      </c>
      <c r="D2671" s="13" t="s">
        <v>3475</v>
      </c>
      <c r="E2671" s="13" t="s">
        <v>93</v>
      </c>
      <c r="F2671" s="13" t="s">
        <v>4727</v>
      </c>
      <c r="G2671" s="20" t="str">
        <f>HYPERLINK("https://semena-nn.ru/catalog/55/999000006188","Фото")</f>
        <v>Фото</v>
      </c>
      <c r="H2671" s="19">
        <v>47.25</v>
      </c>
      <c r="I2671" s="27"/>
      <c r="J2671" s="13">
        <f>H2671*I2671</f>
        <v>0</v>
      </c>
    </row>
    <row r="2672" spans="1:10" ht="12" customHeight="1">
      <c r="A2672" s="13" t="s">
        <v>2281</v>
      </c>
      <c r="B2672" s="13" t="s">
        <v>2282</v>
      </c>
      <c r="C2672" s="13" t="s">
        <v>605</v>
      </c>
      <c r="D2672" s="13" t="s">
        <v>697</v>
      </c>
      <c r="E2672" s="13" t="s">
        <v>93</v>
      </c>
      <c r="F2672" s="13" t="s">
        <v>2283</v>
      </c>
      <c r="G2672" s="20" t="str">
        <f>HYPERLINK("https://semena-nn.ru/catalog/55/1124612","Фото")</f>
        <v>Фото</v>
      </c>
      <c r="H2672" s="19">
        <v>34.25</v>
      </c>
      <c r="I2672" s="27"/>
      <c r="J2672" s="13">
        <f>H2672*I2672</f>
        <v>0</v>
      </c>
    </row>
    <row r="2673" spans="1:10" ht="12" customHeight="1">
      <c r="A2673" s="13" t="s">
        <v>2284</v>
      </c>
      <c r="B2673" s="13" t="s">
        <v>2285</v>
      </c>
      <c r="C2673" s="13" t="s">
        <v>605</v>
      </c>
      <c r="D2673" s="13" t="s">
        <v>697</v>
      </c>
      <c r="E2673" s="13" t="s">
        <v>93</v>
      </c>
      <c r="F2673" s="13" t="s">
        <v>2286</v>
      </c>
      <c r="G2673" s="20" t="str">
        <f>HYPERLINK("https://semena-nn.ru/catalog/55/1124914","Фото")</f>
        <v>Фото</v>
      </c>
      <c r="H2673" s="19">
        <v>34.15</v>
      </c>
      <c r="I2673" s="27"/>
      <c r="J2673" s="13">
        <f>H2673*I2673</f>
        <v>0</v>
      </c>
    </row>
    <row r="2674" spans="1:10" ht="12" customHeight="1">
      <c r="A2674" s="13" t="s">
        <v>2287</v>
      </c>
      <c r="B2674" s="13" t="s">
        <v>2288</v>
      </c>
      <c r="C2674" s="13" t="s">
        <v>605</v>
      </c>
      <c r="D2674" s="13" t="s">
        <v>697</v>
      </c>
      <c r="E2674" s="13" t="s">
        <v>93</v>
      </c>
      <c r="F2674" s="13" t="s">
        <v>2289</v>
      </c>
      <c r="G2674" s="20" t="str">
        <f>HYPERLINK("https://semena-nn.ru/catalog/55/1290502","Фото")</f>
        <v>Фото</v>
      </c>
      <c r="H2674" s="19">
        <v>57.95</v>
      </c>
      <c r="I2674" s="27"/>
      <c r="J2674" s="13">
        <f>H2674*I2674</f>
        <v>0</v>
      </c>
    </row>
    <row r="2675" spans="1:10" ht="12" customHeight="1">
      <c r="A2675" s="13" t="s">
        <v>2290</v>
      </c>
      <c r="B2675" s="13" t="s">
        <v>2291</v>
      </c>
      <c r="C2675" s="13" t="s">
        <v>605</v>
      </c>
      <c r="D2675" s="13" t="s">
        <v>697</v>
      </c>
      <c r="E2675" s="13" t="s">
        <v>93</v>
      </c>
      <c r="F2675" s="13" t="s">
        <v>2292</v>
      </c>
      <c r="G2675" s="20" t="str">
        <f>HYPERLINK("https://semena-nn.ru/catalog/55/110640","Фото")</f>
        <v>Фото</v>
      </c>
      <c r="H2675" s="19">
        <v>57.95</v>
      </c>
      <c r="I2675" s="27"/>
      <c r="J2675" s="13">
        <f>H2675*I2675</f>
        <v>0</v>
      </c>
    </row>
    <row r="2676" spans="1:10" ht="12" customHeight="1">
      <c r="A2676" s="13" t="s">
        <v>2293</v>
      </c>
      <c r="B2676" s="13" t="s">
        <v>2294</v>
      </c>
      <c r="C2676" s="13" t="s">
        <v>605</v>
      </c>
      <c r="D2676" s="13" t="s">
        <v>697</v>
      </c>
      <c r="E2676" s="13" t="s">
        <v>93</v>
      </c>
      <c r="F2676" s="13" t="s">
        <v>2295</v>
      </c>
      <c r="G2676" s="20" t="str">
        <f>HYPERLINK("https://semena-nn.ru/catalog/55/999000009947","Фото")</f>
        <v>Фото</v>
      </c>
      <c r="H2676" s="19">
        <v>57.95</v>
      </c>
      <c r="I2676" s="27"/>
      <c r="J2676" s="13">
        <f>H2676*I2676</f>
        <v>0</v>
      </c>
    </row>
    <row r="2677" spans="1:10" ht="12" customHeight="1">
      <c r="A2677" s="13" t="s">
        <v>2296</v>
      </c>
      <c r="B2677" s="13" t="s">
        <v>2297</v>
      </c>
      <c r="C2677" s="13" t="s">
        <v>605</v>
      </c>
      <c r="D2677" s="13" t="s">
        <v>697</v>
      </c>
      <c r="E2677" s="13" t="s">
        <v>93</v>
      </c>
      <c r="F2677" s="17" t="s">
        <v>2298</v>
      </c>
      <c r="G2677" s="20" t="str">
        <f>HYPERLINK("http://semena-nn.ru/catalog/55/108959","Фото")</f>
        <v>Фото</v>
      </c>
      <c r="H2677" s="19">
        <v>34.15</v>
      </c>
      <c r="I2677" s="27"/>
      <c r="J2677" s="13">
        <f>H2677*I2677</f>
        <v>0</v>
      </c>
    </row>
    <row r="2678" spans="1:10" ht="12" customHeight="1">
      <c r="A2678" s="13" t="s">
        <v>2299</v>
      </c>
      <c r="B2678" s="13" t="s">
        <v>2300</v>
      </c>
      <c r="C2678" s="13" t="s">
        <v>605</v>
      </c>
      <c r="D2678" s="13" t="s">
        <v>697</v>
      </c>
      <c r="E2678" s="13" t="s">
        <v>93</v>
      </c>
      <c r="F2678" s="13" t="s">
        <v>2301</v>
      </c>
      <c r="G2678" s="20" t="str">
        <f>HYPERLINK("https://semena-nn.ru/catalog/55/1125375","Фото")</f>
        <v>Фото</v>
      </c>
      <c r="H2678" s="19">
        <v>49.35</v>
      </c>
      <c r="I2678" s="27"/>
      <c r="J2678" s="13">
        <f>H2678*I2678</f>
        <v>0</v>
      </c>
    </row>
    <row r="2679" spans="1:10" ht="12" customHeight="1">
      <c r="A2679" s="13" t="s">
        <v>2302</v>
      </c>
      <c r="B2679" s="13" t="s">
        <v>2303</v>
      </c>
      <c r="C2679" s="13" t="s">
        <v>605</v>
      </c>
      <c r="D2679" s="13" t="s">
        <v>697</v>
      </c>
      <c r="E2679" s="13" t="s">
        <v>93</v>
      </c>
      <c r="F2679" s="13" t="s">
        <v>2304</v>
      </c>
      <c r="G2679" s="20" t="str">
        <f>HYPERLINK("https://semena-nn.ru/catalog/55/108929","Фото")</f>
        <v>Фото</v>
      </c>
      <c r="H2679" s="18">
        <v>50.8</v>
      </c>
      <c r="I2679" s="27"/>
      <c r="J2679" s="13">
        <f>H2679*I2679</f>
        <v>0</v>
      </c>
    </row>
    <row r="2680" spans="1:10" ht="12" customHeight="1">
      <c r="A2680" s="13" t="s">
        <v>4728</v>
      </c>
      <c r="B2680" s="13" t="s">
        <v>4729</v>
      </c>
      <c r="C2680" s="13" t="s">
        <v>605</v>
      </c>
      <c r="D2680" s="13" t="s">
        <v>3475</v>
      </c>
      <c r="E2680" s="13" t="s">
        <v>93</v>
      </c>
      <c r="F2680" s="13" t="s">
        <v>4730</v>
      </c>
      <c r="G2680" s="20" t="str">
        <f>HYPERLINK("https://semena-nn.ru/catalog/55/999000012758","Фото")</f>
        <v>Фото</v>
      </c>
      <c r="H2680" s="19">
        <v>38.85</v>
      </c>
      <c r="I2680" s="27"/>
      <c r="J2680" s="13">
        <f>H2680*I2680</f>
        <v>0</v>
      </c>
    </row>
    <row r="2681" spans="1:10" ht="12" customHeight="1">
      <c r="A2681" s="13" t="s">
        <v>4731</v>
      </c>
      <c r="B2681" s="13" t="s">
        <v>4732</v>
      </c>
      <c r="C2681" s="13" t="s">
        <v>605</v>
      </c>
      <c r="D2681" s="13" t="s">
        <v>3475</v>
      </c>
      <c r="E2681" s="13" t="s">
        <v>93</v>
      </c>
      <c r="F2681" s="13" t="s">
        <v>4733</v>
      </c>
      <c r="G2681" s="20" t="str">
        <f>HYPERLINK("https://semena-nn.ru/catalog/55/999000008382","Фото")</f>
        <v>Фото</v>
      </c>
      <c r="H2681" s="19">
        <v>38.85</v>
      </c>
      <c r="I2681" s="27"/>
      <c r="J2681" s="13">
        <f>H2681*I2681</f>
        <v>0</v>
      </c>
    </row>
    <row r="2682" spans="1:10" ht="12" customHeight="1">
      <c r="A2682" s="13" t="s">
        <v>2305</v>
      </c>
      <c r="B2682" s="13" t="s">
        <v>2306</v>
      </c>
      <c r="C2682" s="13" t="s">
        <v>605</v>
      </c>
      <c r="D2682" s="13" t="s">
        <v>697</v>
      </c>
      <c r="E2682" s="13" t="s">
        <v>93</v>
      </c>
      <c r="F2682" s="13" t="s">
        <v>2307</v>
      </c>
      <c r="G2682" s="20" t="str">
        <f>HYPERLINK("https://semena-nn.ru/catalog/55/999000009276","Фото")</f>
        <v>Фото</v>
      </c>
      <c r="H2682" s="18">
        <v>46.7</v>
      </c>
      <c r="I2682" s="27"/>
      <c r="J2682" s="13">
        <f>H2682*I2682</f>
        <v>0</v>
      </c>
    </row>
    <row r="2683" spans="1:10" ht="12" customHeight="1">
      <c r="A2683" s="13" t="s">
        <v>6779</v>
      </c>
      <c r="B2683" s="13" t="s">
        <v>6780</v>
      </c>
      <c r="C2683" s="13" t="s">
        <v>605</v>
      </c>
      <c r="D2683" s="13" t="s">
        <v>87</v>
      </c>
      <c r="E2683" s="13" t="s">
        <v>93</v>
      </c>
      <c r="F2683" s="13" t="s">
        <v>6781</v>
      </c>
      <c r="G2683" s="20" t="str">
        <f>HYPERLINK("https://semena-nn.ru/catalog/55/888000000187","Фото")</f>
        <v>Фото</v>
      </c>
      <c r="H2683" s="19">
        <v>80.849999999999994</v>
      </c>
      <c r="I2683" s="27"/>
      <c r="J2683" s="13">
        <f>H2683*I2683</f>
        <v>0</v>
      </c>
    </row>
    <row r="2684" spans="1:10" ht="12" customHeight="1">
      <c r="A2684" s="13" t="s">
        <v>4734</v>
      </c>
      <c r="B2684" s="13" t="s">
        <v>4735</v>
      </c>
      <c r="C2684" s="13" t="s">
        <v>605</v>
      </c>
      <c r="D2684" s="13" t="s">
        <v>3475</v>
      </c>
      <c r="E2684" s="13" t="s">
        <v>93</v>
      </c>
      <c r="F2684" s="13" t="s">
        <v>4736</v>
      </c>
      <c r="G2684" s="20" t="str">
        <f>HYPERLINK("https://semena-nn.ru/catalog/55/999000012755","Фото")</f>
        <v>Фото</v>
      </c>
      <c r="H2684" s="19">
        <v>39.340000000000003</v>
      </c>
      <c r="I2684" s="27"/>
      <c r="J2684" s="13">
        <f>H2684*I2684</f>
        <v>0</v>
      </c>
    </row>
    <row r="2685" spans="1:10" ht="12" customHeight="1">
      <c r="A2685" s="13" t="s">
        <v>4737</v>
      </c>
      <c r="B2685" s="13" t="s">
        <v>4738</v>
      </c>
      <c r="C2685" s="13" t="s">
        <v>605</v>
      </c>
      <c r="D2685" s="13" t="s">
        <v>3475</v>
      </c>
      <c r="E2685" s="13" t="s">
        <v>93</v>
      </c>
      <c r="F2685" s="13" t="s">
        <v>4739</v>
      </c>
      <c r="G2685" s="20" t="str">
        <f>HYPERLINK("https://semena-nn.ru/catalog/55/999000012756","Фото")</f>
        <v>Фото</v>
      </c>
      <c r="H2685" s="19">
        <v>41.31</v>
      </c>
      <c r="I2685" s="27"/>
      <c r="J2685" s="13">
        <f>H2685*I2685</f>
        <v>0</v>
      </c>
    </row>
    <row r="2686" spans="1:10" ht="12" customHeight="1">
      <c r="A2686" s="13" t="s">
        <v>2308</v>
      </c>
      <c r="B2686" s="13" t="s">
        <v>2309</v>
      </c>
      <c r="C2686" s="13" t="s">
        <v>605</v>
      </c>
      <c r="D2686" s="13" t="s">
        <v>697</v>
      </c>
      <c r="E2686" s="13" t="s">
        <v>93</v>
      </c>
      <c r="F2686" s="13" t="s">
        <v>2310</v>
      </c>
      <c r="G2686" s="20" t="str">
        <f>HYPERLINK("https://semena-nn.ru/catalog/55/888000007532","Фото")</f>
        <v>Фото</v>
      </c>
      <c r="H2686" s="18">
        <v>55.4</v>
      </c>
      <c r="I2686" s="27"/>
      <c r="J2686" s="13">
        <f>H2686*I2686</f>
        <v>0</v>
      </c>
    </row>
    <row r="2687" spans="1:10" ht="12" customHeight="1">
      <c r="A2687" s="13" t="s">
        <v>6342</v>
      </c>
      <c r="B2687" s="13" t="s">
        <v>6343</v>
      </c>
      <c r="C2687" s="13" t="s">
        <v>605</v>
      </c>
      <c r="D2687" s="13" t="s">
        <v>6295</v>
      </c>
      <c r="E2687" s="13" t="s">
        <v>93</v>
      </c>
      <c r="F2687" s="13" t="s">
        <v>6344</v>
      </c>
      <c r="G2687" s="20" t="str">
        <f>HYPERLINK("https://semena-nn.ru/catalog/55/999000020373","Фото")</f>
        <v>Фото</v>
      </c>
      <c r="H2687" s="18">
        <v>262.5</v>
      </c>
      <c r="I2687" s="27"/>
      <c r="J2687" s="13">
        <f>H2687*I2687</f>
        <v>0</v>
      </c>
    </row>
    <row r="2688" spans="1:10" ht="12" customHeight="1">
      <c r="A2688" s="13" t="s">
        <v>4740</v>
      </c>
      <c r="B2688" s="13" t="s">
        <v>4741</v>
      </c>
      <c r="C2688" s="13" t="s">
        <v>605</v>
      </c>
      <c r="D2688" s="13" t="s">
        <v>3475</v>
      </c>
      <c r="E2688" s="13" t="s">
        <v>93</v>
      </c>
      <c r="F2688" s="13" t="s">
        <v>4742</v>
      </c>
      <c r="G2688" s="20" t="str">
        <f>HYPERLINK("https://semena-nn.ru/catalog/55/999000007765","Фото")</f>
        <v>Фото</v>
      </c>
      <c r="H2688" s="15">
        <v>84</v>
      </c>
      <c r="I2688" s="27"/>
      <c r="J2688" s="13">
        <f>H2688*I2688</f>
        <v>0</v>
      </c>
    </row>
    <row r="2689" spans="1:10" ht="12" customHeight="1">
      <c r="A2689" s="13" t="s">
        <v>4743</v>
      </c>
      <c r="B2689" s="13" t="s">
        <v>4744</v>
      </c>
      <c r="C2689" s="13" t="s">
        <v>605</v>
      </c>
      <c r="D2689" s="13" t="s">
        <v>3475</v>
      </c>
      <c r="E2689" s="13" t="s">
        <v>93</v>
      </c>
      <c r="F2689" s="13" t="s">
        <v>4745</v>
      </c>
      <c r="G2689" s="20" t="str">
        <f>HYPERLINK("https://semena-nn.ru/catalog/55/999000012749","Фото")</f>
        <v>Фото</v>
      </c>
      <c r="H2689" s="19">
        <v>36.75</v>
      </c>
      <c r="I2689" s="27"/>
      <c r="J2689" s="13">
        <f>H2689*I2689</f>
        <v>0</v>
      </c>
    </row>
    <row r="2690" spans="1:10" ht="12" customHeight="1">
      <c r="A2690" s="13" t="s">
        <v>2311</v>
      </c>
      <c r="B2690" s="13" t="s">
        <v>2312</v>
      </c>
      <c r="C2690" s="13" t="s">
        <v>605</v>
      </c>
      <c r="D2690" s="13" t="s">
        <v>697</v>
      </c>
      <c r="E2690" s="13" t="s">
        <v>93</v>
      </c>
      <c r="F2690" s="13" t="s">
        <v>2313</v>
      </c>
      <c r="G2690" s="20" t="str">
        <f>HYPERLINK("https://semena-nn.ru/catalog/55/999000005748","Фото")</f>
        <v>Фото</v>
      </c>
      <c r="H2690" s="18">
        <v>50.8</v>
      </c>
      <c r="I2690" s="27"/>
      <c r="J2690" s="13">
        <f>H2690*I2690</f>
        <v>0</v>
      </c>
    </row>
    <row r="2691" spans="1:10" ht="12" customHeight="1">
      <c r="A2691" s="13" t="s">
        <v>2314</v>
      </c>
      <c r="B2691" s="13" t="s">
        <v>2315</v>
      </c>
      <c r="C2691" s="13" t="s">
        <v>605</v>
      </c>
      <c r="D2691" s="13" t="s">
        <v>697</v>
      </c>
      <c r="E2691" s="13" t="s">
        <v>93</v>
      </c>
      <c r="F2691" s="13" t="s">
        <v>2316</v>
      </c>
      <c r="G2691" s="20" t="str">
        <f>HYPERLINK("https://semena-nn.ru/catalog/55/1310883","Фото")</f>
        <v>Фото</v>
      </c>
      <c r="H2691" s="19">
        <v>53.15</v>
      </c>
      <c r="I2691" s="27"/>
      <c r="J2691" s="13">
        <f>H2691*I2691</f>
        <v>0</v>
      </c>
    </row>
    <row r="2692" spans="1:10" ht="12" customHeight="1">
      <c r="A2692" s="13" t="s">
        <v>2317</v>
      </c>
      <c r="B2692" s="13" t="s">
        <v>2318</v>
      </c>
      <c r="C2692" s="13" t="s">
        <v>605</v>
      </c>
      <c r="D2692" s="13" t="s">
        <v>697</v>
      </c>
      <c r="E2692" s="13" t="s">
        <v>93</v>
      </c>
      <c r="F2692" s="13" t="s">
        <v>2319</v>
      </c>
      <c r="G2692" s="20" t="str">
        <f>HYPERLINK("https://semena-nn.ru/catalog/55/999000005749","Фото")</f>
        <v>Фото</v>
      </c>
      <c r="H2692" s="18">
        <v>52.2</v>
      </c>
      <c r="I2692" s="27"/>
      <c r="J2692" s="13">
        <f>H2692*I2692</f>
        <v>0</v>
      </c>
    </row>
    <row r="2693" spans="1:10" ht="12" customHeight="1">
      <c r="A2693" s="13" t="s">
        <v>2320</v>
      </c>
      <c r="B2693" s="13" t="s">
        <v>2321</v>
      </c>
      <c r="C2693" s="13" t="s">
        <v>605</v>
      </c>
      <c r="D2693" s="13" t="s">
        <v>697</v>
      </c>
      <c r="E2693" s="13" t="s">
        <v>93</v>
      </c>
      <c r="F2693" s="13" t="s">
        <v>2322</v>
      </c>
      <c r="G2693" s="20" t="str">
        <f>HYPERLINK("http://semena-nn.ru/catalog/55/1288214","Фото")</f>
        <v>Фото</v>
      </c>
      <c r="H2693" s="18">
        <v>26.5</v>
      </c>
      <c r="I2693" s="27"/>
      <c r="J2693" s="13">
        <f>H2693*I2693</f>
        <v>0</v>
      </c>
    </row>
    <row r="2694" spans="1:10" ht="12" customHeight="1">
      <c r="A2694" s="13" t="s">
        <v>7134</v>
      </c>
      <c r="B2694" s="13" t="s">
        <v>7135</v>
      </c>
      <c r="C2694" s="13" t="s">
        <v>605</v>
      </c>
      <c r="D2694" s="13" t="s">
        <v>6927</v>
      </c>
      <c r="E2694" s="13" t="s">
        <v>93</v>
      </c>
      <c r="F2694" s="13" t="s">
        <v>7136</v>
      </c>
      <c r="G2694" s="20" t="str">
        <f>HYPERLINK("https://semena-nn.ru/catalog/55/999000011680","Фото")</f>
        <v>Фото</v>
      </c>
      <c r="H2694" s="18">
        <v>105.5</v>
      </c>
      <c r="I2694" s="27"/>
      <c r="J2694" s="13">
        <f>H2694*I2694</f>
        <v>0</v>
      </c>
    </row>
    <row r="2695" spans="1:10" ht="12" customHeight="1">
      <c r="A2695" s="13" t="s">
        <v>4746</v>
      </c>
      <c r="B2695" s="13" t="s">
        <v>4747</v>
      </c>
      <c r="C2695" s="13" t="s">
        <v>605</v>
      </c>
      <c r="D2695" s="13" t="s">
        <v>3475</v>
      </c>
      <c r="E2695" s="13" t="s">
        <v>93</v>
      </c>
      <c r="F2695" s="13" t="s">
        <v>4748</v>
      </c>
      <c r="G2695" s="20" t="str">
        <f>HYPERLINK("https://semena-nn.ru/catalog/55/1126638","Фото")</f>
        <v>Фото</v>
      </c>
      <c r="H2695" s="18">
        <v>33.1</v>
      </c>
      <c r="I2695" s="27"/>
      <c r="J2695" s="13">
        <f>H2695*I2695</f>
        <v>0</v>
      </c>
    </row>
    <row r="2696" spans="1:10" ht="12" customHeight="1">
      <c r="A2696" s="13" t="s">
        <v>2323</v>
      </c>
      <c r="B2696" s="13" t="s">
        <v>2324</v>
      </c>
      <c r="C2696" s="13" t="s">
        <v>605</v>
      </c>
      <c r="D2696" s="13" t="s">
        <v>697</v>
      </c>
      <c r="E2696" s="13" t="s">
        <v>93</v>
      </c>
      <c r="F2696" s="13" t="s">
        <v>2325</v>
      </c>
      <c r="G2696" s="20" t="str">
        <f>HYPERLINK("https://semena-nn.ru/catalog/55/888000007533","Фото")</f>
        <v>Фото</v>
      </c>
      <c r="H2696" s="19">
        <v>34.15</v>
      </c>
      <c r="I2696" s="27"/>
      <c r="J2696" s="13">
        <f>H2696*I2696</f>
        <v>0</v>
      </c>
    </row>
    <row r="2697" spans="1:10" ht="12" customHeight="1">
      <c r="A2697" s="13" t="s">
        <v>4749</v>
      </c>
      <c r="B2697" s="13" t="s">
        <v>4750</v>
      </c>
      <c r="C2697" s="13" t="s">
        <v>605</v>
      </c>
      <c r="D2697" s="13" t="s">
        <v>3475</v>
      </c>
      <c r="E2697" s="13" t="s">
        <v>93</v>
      </c>
      <c r="F2697" s="13" t="s">
        <v>4751</v>
      </c>
      <c r="G2697" s="20" t="str">
        <f>HYPERLINK("https://semena-nn.ru/catalog/55/999000019971","Фото")</f>
        <v>Фото</v>
      </c>
      <c r="H2697" s="18">
        <v>207.9</v>
      </c>
      <c r="I2697" s="27"/>
      <c r="J2697" s="13">
        <f>H2697*I2697</f>
        <v>0</v>
      </c>
    </row>
    <row r="2698" spans="1:10" ht="12" customHeight="1">
      <c r="A2698" s="13" t="s">
        <v>6345</v>
      </c>
      <c r="B2698" s="13" t="s">
        <v>6346</v>
      </c>
      <c r="C2698" s="13" t="s">
        <v>605</v>
      </c>
      <c r="D2698" s="13" t="s">
        <v>6295</v>
      </c>
      <c r="E2698" s="13" t="s">
        <v>93</v>
      </c>
      <c r="F2698" s="13" t="s">
        <v>6347</v>
      </c>
      <c r="G2698" s="20" t="str">
        <f>HYPERLINK("https://semena-nn.ru/catalog/55/104967","Фото")</f>
        <v>Фото</v>
      </c>
      <c r="H2698" s="15">
        <v>168</v>
      </c>
      <c r="I2698" s="27"/>
      <c r="J2698" s="13">
        <f>H2698*I2698</f>
        <v>0</v>
      </c>
    </row>
    <row r="2699" spans="1:10" ht="12" customHeight="1">
      <c r="A2699" s="13" t="s">
        <v>4752</v>
      </c>
      <c r="B2699" s="13" t="s">
        <v>4753</v>
      </c>
      <c r="C2699" s="13" t="s">
        <v>605</v>
      </c>
      <c r="D2699" s="13" t="s">
        <v>3475</v>
      </c>
      <c r="E2699" s="13" t="s">
        <v>93</v>
      </c>
      <c r="F2699" s="13" t="s">
        <v>4754</v>
      </c>
      <c r="G2699" s="20" t="str">
        <f>HYPERLINK("https://semena-nn.ru/catalog/55/1312931","Фото")</f>
        <v>Фото</v>
      </c>
      <c r="H2699" s="18">
        <v>38.9</v>
      </c>
      <c r="I2699" s="27"/>
      <c r="J2699" s="13">
        <f>H2699*I2699</f>
        <v>0</v>
      </c>
    </row>
    <row r="2700" spans="1:10" ht="12" customHeight="1">
      <c r="A2700" s="13" t="s">
        <v>4755</v>
      </c>
      <c r="B2700" s="13" t="s">
        <v>4756</v>
      </c>
      <c r="C2700" s="13" t="s">
        <v>605</v>
      </c>
      <c r="D2700" s="13" t="s">
        <v>3475</v>
      </c>
      <c r="E2700" s="13" t="s">
        <v>93</v>
      </c>
      <c r="F2700" s="13" t="s">
        <v>4754</v>
      </c>
      <c r="G2700" s="20" t="str">
        <f>HYPERLINK("https://semena-nn.ru/catalog/55/1312932","Фото")</f>
        <v>Фото</v>
      </c>
      <c r="H2700" s="18">
        <v>38.9</v>
      </c>
      <c r="I2700" s="27"/>
      <c r="J2700" s="13">
        <f>H2700*I2700</f>
        <v>0</v>
      </c>
    </row>
    <row r="2701" spans="1:10" ht="12" customHeight="1">
      <c r="A2701" s="13" t="s">
        <v>4757</v>
      </c>
      <c r="B2701" s="13" t="s">
        <v>4758</v>
      </c>
      <c r="C2701" s="13" t="s">
        <v>605</v>
      </c>
      <c r="D2701" s="13" t="s">
        <v>3475</v>
      </c>
      <c r="E2701" s="13" t="s">
        <v>93</v>
      </c>
      <c r="F2701" s="13" t="s">
        <v>4754</v>
      </c>
      <c r="G2701" s="20" t="str">
        <f>HYPERLINK("https://semena-nn.ru/catalog/55/1312933","Фото")</f>
        <v>Фото</v>
      </c>
      <c r="H2701" s="18">
        <v>38.9</v>
      </c>
      <c r="I2701" s="27"/>
      <c r="J2701" s="13">
        <f>H2701*I2701</f>
        <v>0</v>
      </c>
    </row>
    <row r="2702" spans="1:10" ht="12" customHeight="1">
      <c r="A2702" s="13" t="s">
        <v>645</v>
      </c>
      <c r="B2702" s="13" t="s">
        <v>646</v>
      </c>
      <c r="C2702" s="13" t="s">
        <v>605</v>
      </c>
      <c r="D2702" s="13" t="s">
        <v>28</v>
      </c>
      <c r="E2702" s="13" t="s">
        <v>93</v>
      </c>
      <c r="F2702" s="13" t="s">
        <v>647</v>
      </c>
      <c r="G2702" s="20" t="str">
        <f>HYPERLINK("https://semena-nn.ru/catalog/55/999000009766","Фото")</f>
        <v>Фото</v>
      </c>
      <c r="H2702" s="19">
        <v>66.31</v>
      </c>
      <c r="I2702" s="27"/>
      <c r="J2702" s="13">
        <f>H2702*I2702</f>
        <v>0</v>
      </c>
    </row>
    <row r="2703" spans="1:10" ht="12" customHeight="1">
      <c r="A2703" s="13" t="s">
        <v>2326</v>
      </c>
      <c r="B2703" s="13" t="s">
        <v>2327</v>
      </c>
      <c r="C2703" s="13" t="s">
        <v>605</v>
      </c>
      <c r="D2703" s="13" t="s">
        <v>697</v>
      </c>
      <c r="E2703" s="13" t="s">
        <v>93</v>
      </c>
      <c r="F2703" s="13" t="s">
        <v>2328</v>
      </c>
      <c r="G2703" s="20" t="str">
        <f>HYPERLINK("https://semena-nn.ru/catalog/55/1124614","Фото")</f>
        <v>Фото</v>
      </c>
      <c r="H2703" s="18">
        <v>55.4</v>
      </c>
      <c r="I2703" s="27"/>
      <c r="J2703" s="13">
        <f>H2703*I2703</f>
        <v>0</v>
      </c>
    </row>
    <row r="2704" spans="1:10" ht="12" customHeight="1">
      <c r="A2704" s="13" t="s">
        <v>2329</v>
      </c>
      <c r="B2704" s="13" t="s">
        <v>2330</v>
      </c>
      <c r="C2704" s="13" t="s">
        <v>605</v>
      </c>
      <c r="D2704" s="13" t="s">
        <v>697</v>
      </c>
      <c r="E2704" s="13" t="s">
        <v>93</v>
      </c>
      <c r="F2704" s="13" t="s">
        <v>2331</v>
      </c>
      <c r="G2704" s="20" t="str">
        <f>HYPERLINK("https://semena-nn.ru/catalog/55/1115982","Фото")</f>
        <v>Фото</v>
      </c>
      <c r="H2704" s="19">
        <v>35.15</v>
      </c>
      <c r="I2704" s="27"/>
      <c r="J2704" s="13">
        <f>H2704*I2704</f>
        <v>0</v>
      </c>
    </row>
    <row r="2705" spans="1:10" ht="12" customHeight="1">
      <c r="A2705" s="13" t="s">
        <v>4759</v>
      </c>
      <c r="B2705" s="13" t="s">
        <v>4760</v>
      </c>
      <c r="C2705" s="13" t="s">
        <v>605</v>
      </c>
      <c r="D2705" s="13" t="s">
        <v>3475</v>
      </c>
      <c r="E2705" s="13" t="s">
        <v>93</v>
      </c>
      <c r="F2705" s="13" t="s">
        <v>4761</v>
      </c>
      <c r="G2705" s="20" t="str">
        <f>HYPERLINK("https://semena-nn.ru/catalog/55/1284702","Фото")</f>
        <v>Фото</v>
      </c>
      <c r="H2705" s="19">
        <v>22.05</v>
      </c>
      <c r="I2705" s="27"/>
      <c r="J2705" s="13">
        <f>H2705*I2705</f>
        <v>0</v>
      </c>
    </row>
    <row r="2706" spans="1:10" ht="12" customHeight="1">
      <c r="A2706" s="13" t="s">
        <v>2332</v>
      </c>
      <c r="B2706" s="13" t="s">
        <v>2333</v>
      </c>
      <c r="C2706" s="13" t="s">
        <v>605</v>
      </c>
      <c r="D2706" s="13" t="s">
        <v>697</v>
      </c>
      <c r="E2706" s="13" t="s">
        <v>93</v>
      </c>
      <c r="F2706" s="13" t="s">
        <v>2334</v>
      </c>
      <c r="G2706" s="20" t="str">
        <f>HYPERLINK("https://semena-nn.ru/catalog/55/999000011861","Фото")</f>
        <v>Фото</v>
      </c>
      <c r="H2706" s="19">
        <v>30.25</v>
      </c>
      <c r="I2706" s="27"/>
      <c r="J2706" s="13">
        <f>H2706*I2706</f>
        <v>0</v>
      </c>
    </row>
    <row r="2707" spans="1:10" ht="12" customHeight="1">
      <c r="A2707" s="13" t="s">
        <v>2335</v>
      </c>
      <c r="B2707" s="13" t="s">
        <v>2336</v>
      </c>
      <c r="C2707" s="13" t="s">
        <v>605</v>
      </c>
      <c r="D2707" s="13" t="s">
        <v>697</v>
      </c>
      <c r="E2707" s="13" t="s">
        <v>93</v>
      </c>
      <c r="F2707" s="13" t="s">
        <v>2337</v>
      </c>
      <c r="G2707" s="20" t="str">
        <f>HYPERLINK("https://semena-nn.ru/catalog/55/1298523","Фото")</f>
        <v>Фото</v>
      </c>
      <c r="H2707" s="18">
        <v>26.5</v>
      </c>
      <c r="I2707" s="27"/>
      <c r="J2707" s="13">
        <f>H2707*I2707</f>
        <v>0</v>
      </c>
    </row>
    <row r="2708" spans="1:10" ht="12" customHeight="1">
      <c r="A2708" s="13" t="s">
        <v>2338</v>
      </c>
      <c r="B2708" s="13" t="s">
        <v>2339</v>
      </c>
      <c r="C2708" s="13" t="s">
        <v>605</v>
      </c>
      <c r="D2708" s="13" t="s">
        <v>697</v>
      </c>
      <c r="E2708" s="13" t="s">
        <v>93</v>
      </c>
      <c r="F2708" s="13" t="s">
        <v>2340</v>
      </c>
      <c r="G2708" s="20" t="str">
        <f>HYPERLINK("https://semena-nn.ru/catalog/55/999000011129","Фото")</f>
        <v>Фото</v>
      </c>
      <c r="H2708" s="18">
        <v>73.5</v>
      </c>
      <c r="I2708" s="27"/>
      <c r="J2708" s="13">
        <f>H2708*I2708</f>
        <v>0</v>
      </c>
    </row>
    <row r="2709" spans="1:10" ht="12" customHeight="1">
      <c r="A2709" s="13" t="s">
        <v>7137</v>
      </c>
      <c r="B2709" s="13" t="s">
        <v>7138</v>
      </c>
      <c r="C2709" s="13" t="s">
        <v>605</v>
      </c>
      <c r="D2709" s="13" t="s">
        <v>6927</v>
      </c>
      <c r="E2709" s="13" t="s">
        <v>93</v>
      </c>
      <c r="F2709" s="13" t="s">
        <v>7139</v>
      </c>
      <c r="G2709" s="20" t="str">
        <f>HYPERLINK("https://semena-nn.ru/catalog/55/1310735","Фото")</f>
        <v>Фото</v>
      </c>
      <c r="H2709" s="19">
        <v>48.45</v>
      </c>
      <c r="I2709" s="27"/>
      <c r="J2709" s="13">
        <f>H2709*I2709</f>
        <v>0</v>
      </c>
    </row>
    <row r="2710" spans="1:10" ht="12" customHeight="1">
      <c r="A2710" s="13" t="s">
        <v>4762</v>
      </c>
      <c r="B2710" s="13" t="s">
        <v>4763</v>
      </c>
      <c r="C2710" s="13" t="s">
        <v>605</v>
      </c>
      <c r="D2710" s="13" t="s">
        <v>3475</v>
      </c>
      <c r="E2710" s="13" t="s">
        <v>93</v>
      </c>
      <c r="F2710" s="13" t="s">
        <v>4764</v>
      </c>
      <c r="G2710" s="20" t="str">
        <f>HYPERLINK("https://semena-nn.ru/catalog/55/1120059","Фото")</f>
        <v>Фото</v>
      </c>
      <c r="H2710" s="18">
        <v>34.200000000000003</v>
      </c>
      <c r="I2710" s="27"/>
      <c r="J2710" s="13">
        <f>H2710*I2710</f>
        <v>0</v>
      </c>
    </row>
    <row r="2711" spans="1:10" ht="12" customHeight="1">
      <c r="A2711" s="13" t="s">
        <v>2341</v>
      </c>
      <c r="B2711" s="13" t="s">
        <v>2342</v>
      </c>
      <c r="C2711" s="13" t="s">
        <v>605</v>
      </c>
      <c r="D2711" s="13" t="s">
        <v>697</v>
      </c>
      <c r="E2711" s="13" t="s">
        <v>93</v>
      </c>
      <c r="F2711" s="13" t="s">
        <v>2343</v>
      </c>
      <c r="G2711" s="20" t="str">
        <f>HYPERLINK("https://semena-nn.ru/catalog/55/105378","Фото")</f>
        <v>Фото</v>
      </c>
      <c r="H2711" s="19">
        <v>42.95</v>
      </c>
      <c r="I2711" s="27"/>
      <c r="J2711" s="13">
        <f>H2711*I2711</f>
        <v>0</v>
      </c>
    </row>
    <row r="2712" spans="1:10" ht="12" customHeight="1">
      <c r="A2712" s="13" t="s">
        <v>648</v>
      </c>
      <c r="B2712" s="13" t="s">
        <v>649</v>
      </c>
      <c r="C2712" s="13" t="s">
        <v>605</v>
      </c>
      <c r="D2712" s="13" t="s">
        <v>28</v>
      </c>
      <c r="E2712" s="13" t="s">
        <v>93</v>
      </c>
      <c r="F2712" s="13" t="s">
        <v>650</v>
      </c>
      <c r="G2712" s="20" t="str">
        <f>HYPERLINK("https://semena-nn.ru/catalog/55/999000009769","Фото")</f>
        <v>Фото</v>
      </c>
      <c r="H2712" s="19">
        <v>45.62</v>
      </c>
      <c r="I2712" s="27"/>
      <c r="J2712" s="13">
        <f>H2712*I2712</f>
        <v>0</v>
      </c>
    </row>
    <row r="2713" spans="1:10" ht="12" customHeight="1">
      <c r="A2713" s="13" t="s">
        <v>2344</v>
      </c>
      <c r="B2713" s="13" t="s">
        <v>2345</v>
      </c>
      <c r="C2713" s="13" t="s">
        <v>605</v>
      </c>
      <c r="D2713" s="13" t="s">
        <v>697</v>
      </c>
      <c r="E2713" s="13" t="s">
        <v>93</v>
      </c>
      <c r="F2713" s="13" t="s">
        <v>2346</v>
      </c>
      <c r="G2713" s="20" t="str">
        <f>HYPERLINK("https://semena-nn.ru/catalog/55/999000008085","Фото")</f>
        <v>Фото</v>
      </c>
      <c r="H2713" s="19">
        <v>48.35</v>
      </c>
      <c r="I2713" s="27"/>
      <c r="J2713" s="13">
        <f>H2713*I2713</f>
        <v>0</v>
      </c>
    </row>
    <row r="2714" spans="1:10" ht="12" customHeight="1">
      <c r="A2714" s="13" t="s">
        <v>2347</v>
      </c>
      <c r="B2714" s="13" t="s">
        <v>2348</v>
      </c>
      <c r="C2714" s="13" t="s">
        <v>605</v>
      </c>
      <c r="D2714" s="13" t="s">
        <v>697</v>
      </c>
      <c r="E2714" s="13" t="s">
        <v>93</v>
      </c>
      <c r="F2714" s="13" t="s">
        <v>2349</v>
      </c>
      <c r="G2714" s="20" t="str">
        <f>HYPERLINK("http://semena-nn.ru/catalog/55/1116610","Фото")</f>
        <v>Фото</v>
      </c>
      <c r="H2714" s="19">
        <v>35.15</v>
      </c>
      <c r="I2714" s="27"/>
      <c r="J2714" s="13">
        <f>H2714*I2714</f>
        <v>0</v>
      </c>
    </row>
    <row r="2715" spans="1:10" ht="12" customHeight="1">
      <c r="A2715" s="13" t="s">
        <v>2350</v>
      </c>
      <c r="B2715" s="13" t="s">
        <v>2351</v>
      </c>
      <c r="C2715" s="13" t="s">
        <v>605</v>
      </c>
      <c r="D2715" s="13" t="s">
        <v>697</v>
      </c>
      <c r="E2715" s="13" t="s">
        <v>93</v>
      </c>
      <c r="F2715" s="13" t="s">
        <v>2352</v>
      </c>
      <c r="G2715" s="20" t="str">
        <f>HYPERLINK("https://semena-nn.ru/catalog/55/999000012854","Фото")</f>
        <v>Фото</v>
      </c>
      <c r="H2715" s="18">
        <v>46.8</v>
      </c>
      <c r="I2715" s="27"/>
      <c r="J2715" s="13">
        <f>H2715*I2715</f>
        <v>0</v>
      </c>
    </row>
    <row r="2716" spans="1:10" ht="12" customHeight="1">
      <c r="A2716" s="13" t="s">
        <v>2353</v>
      </c>
      <c r="B2716" s="13" t="s">
        <v>2354</v>
      </c>
      <c r="C2716" s="13" t="s">
        <v>605</v>
      </c>
      <c r="D2716" s="13" t="s">
        <v>697</v>
      </c>
      <c r="E2716" s="13" t="s">
        <v>93</v>
      </c>
      <c r="F2716" s="17" t="s">
        <v>2355</v>
      </c>
      <c r="G2716" s="20" t="str">
        <f>HYPERLINK("https://semena-nn.ru/catalog/55/888000007534","Фото")</f>
        <v>Фото</v>
      </c>
      <c r="H2716" s="18">
        <v>46.8</v>
      </c>
      <c r="I2716" s="27"/>
      <c r="J2716" s="13">
        <f>H2716*I2716</f>
        <v>0</v>
      </c>
    </row>
    <row r="2717" spans="1:10" ht="12" customHeight="1">
      <c r="A2717" s="13" t="s">
        <v>2356</v>
      </c>
      <c r="B2717" s="13" t="s">
        <v>2357</v>
      </c>
      <c r="C2717" s="13" t="s">
        <v>605</v>
      </c>
      <c r="D2717" s="13" t="s">
        <v>697</v>
      </c>
      <c r="E2717" s="13" t="s">
        <v>93</v>
      </c>
      <c r="F2717" s="13" t="s">
        <v>2352</v>
      </c>
      <c r="G2717" s="20" t="str">
        <f>HYPERLINK("https://semena-nn.ru/catalog/55/2954","Фото")</f>
        <v>Фото</v>
      </c>
      <c r="H2717" s="18">
        <v>46.8</v>
      </c>
      <c r="I2717" s="27"/>
      <c r="J2717" s="13">
        <f>H2717*I2717</f>
        <v>0</v>
      </c>
    </row>
    <row r="2718" spans="1:10" ht="12" customHeight="1">
      <c r="A2718" s="13" t="s">
        <v>2358</v>
      </c>
      <c r="B2718" s="13" t="s">
        <v>2359</v>
      </c>
      <c r="C2718" s="13" t="s">
        <v>605</v>
      </c>
      <c r="D2718" s="13" t="s">
        <v>697</v>
      </c>
      <c r="E2718" s="13" t="s">
        <v>93</v>
      </c>
      <c r="F2718" s="13" t="s">
        <v>2352</v>
      </c>
      <c r="G2718" s="20" t="str">
        <f>HYPERLINK("https://semena-nn.ru/catalog/55/999000012855","Фото")</f>
        <v>Фото</v>
      </c>
      <c r="H2718" s="18">
        <v>46.8</v>
      </c>
      <c r="I2718" s="27"/>
      <c r="J2718" s="13">
        <f>H2718*I2718</f>
        <v>0</v>
      </c>
    </row>
    <row r="2719" spans="1:10" ht="12" customHeight="1">
      <c r="A2719" s="13" t="s">
        <v>4765</v>
      </c>
      <c r="B2719" s="13" t="s">
        <v>4766</v>
      </c>
      <c r="C2719" s="13" t="s">
        <v>605</v>
      </c>
      <c r="D2719" s="13" t="s">
        <v>3475</v>
      </c>
      <c r="E2719" s="13" t="s">
        <v>93</v>
      </c>
      <c r="F2719" s="13" t="s">
        <v>4767</v>
      </c>
      <c r="G2719" s="20" t="str">
        <f>HYPERLINK("https://semena-nn.ru/catalog/55/999000009399","Фото")</f>
        <v>Фото</v>
      </c>
      <c r="H2719" s="19">
        <v>36.75</v>
      </c>
      <c r="I2719" s="27"/>
      <c r="J2719" s="13">
        <f>H2719*I2719</f>
        <v>0</v>
      </c>
    </row>
    <row r="2720" spans="1:10" ht="12" customHeight="1">
      <c r="A2720" s="13" t="s">
        <v>4768</v>
      </c>
      <c r="B2720" s="13" t="s">
        <v>4769</v>
      </c>
      <c r="C2720" s="13" t="s">
        <v>605</v>
      </c>
      <c r="D2720" s="13" t="s">
        <v>3475</v>
      </c>
      <c r="E2720" s="13" t="s">
        <v>93</v>
      </c>
      <c r="F2720" s="13" t="s">
        <v>4770</v>
      </c>
      <c r="G2720" s="20" t="str">
        <f>HYPERLINK("https://semena-nn.ru/catalog/55/999000009400","Фото")</f>
        <v>Фото</v>
      </c>
      <c r="H2720" s="19">
        <v>36.75</v>
      </c>
      <c r="I2720" s="27"/>
      <c r="J2720" s="13">
        <f>H2720*I2720</f>
        <v>0</v>
      </c>
    </row>
    <row r="2721" spans="1:10" ht="12" customHeight="1">
      <c r="A2721" s="13" t="s">
        <v>651</v>
      </c>
      <c r="B2721" s="13" t="s">
        <v>652</v>
      </c>
      <c r="C2721" s="13" t="s">
        <v>605</v>
      </c>
      <c r="D2721" s="13" t="s">
        <v>28</v>
      </c>
      <c r="E2721" s="13" t="s">
        <v>93</v>
      </c>
      <c r="F2721" s="13" t="s">
        <v>653</v>
      </c>
      <c r="G2721" s="20" t="str">
        <f>HYPERLINK("https://semena-nn.ru/catalog/55/999000011525","Фото")</f>
        <v>Фото</v>
      </c>
      <c r="H2721" s="19">
        <v>63.42</v>
      </c>
      <c r="I2721" s="27"/>
      <c r="J2721" s="13">
        <f>H2721*I2721</f>
        <v>0</v>
      </c>
    </row>
    <row r="2722" spans="1:10" ht="12" customHeight="1">
      <c r="A2722" s="13" t="s">
        <v>654</v>
      </c>
      <c r="B2722" s="13" t="s">
        <v>655</v>
      </c>
      <c r="C2722" s="13" t="s">
        <v>605</v>
      </c>
      <c r="D2722" s="13" t="s">
        <v>28</v>
      </c>
      <c r="E2722" s="13" t="s">
        <v>93</v>
      </c>
      <c r="F2722" s="13" t="s">
        <v>656</v>
      </c>
      <c r="G2722" s="20" t="str">
        <f>HYPERLINK("https://semena-nn.ru/catalog/55/999000009770","Фото")</f>
        <v>Фото</v>
      </c>
      <c r="H2722" s="19">
        <v>63.42</v>
      </c>
      <c r="I2722" s="27"/>
      <c r="J2722" s="13">
        <f>H2722*I2722</f>
        <v>0</v>
      </c>
    </row>
    <row r="2723" spans="1:10" ht="12" customHeight="1">
      <c r="A2723" s="13" t="s">
        <v>2360</v>
      </c>
      <c r="B2723" s="13" t="s">
        <v>2361</v>
      </c>
      <c r="C2723" s="13" t="s">
        <v>605</v>
      </c>
      <c r="D2723" s="13" t="s">
        <v>697</v>
      </c>
      <c r="E2723" s="13" t="s">
        <v>93</v>
      </c>
      <c r="F2723" s="13" t="s">
        <v>2362</v>
      </c>
      <c r="G2723" s="20" t="str">
        <f>HYPERLINK("https://semena-nn.ru/catalog/55/1124810","Фото")</f>
        <v>Фото</v>
      </c>
      <c r="H2723" s="19">
        <v>47.35</v>
      </c>
      <c r="I2723" s="27"/>
      <c r="J2723" s="13">
        <f>H2723*I2723</f>
        <v>0</v>
      </c>
    </row>
    <row r="2724" spans="1:10" ht="12" customHeight="1">
      <c r="A2724" s="13" t="s">
        <v>2363</v>
      </c>
      <c r="B2724" s="13" t="s">
        <v>2364</v>
      </c>
      <c r="C2724" s="13" t="s">
        <v>605</v>
      </c>
      <c r="D2724" s="13" t="s">
        <v>697</v>
      </c>
      <c r="E2724" s="13" t="s">
        <v>93</v>
      </c>
      <c r="F2724" s="13" t="s">
        <v>2365</v>
      </c>
      <c r="G2724" s="20" t="str">
        <f>HYPERLINK("https://semena-nn.ru/catalog/55/113161","Фото")</f>
        <v>Фото</v>
      </c>
      <c r="H2724" s="19">
        <v>47.35</v>
      </c>
      <c r="I2724" s="27"/>
      <c r="J2724" s="13">
        <f>H2724*I2724</f>
        <v>0</v>
      </c>
    </row>
    <row r="2725" spans="1:10" ht="12" customHeight="1">
      <c r="A2725" s="13" t="s">
        <v>2366</v>
      </c>
      <c r="B2725" s="13" t="s">
        <v>2367</v>
      </c>
      <c r="C2725" s="13" t="s">
        <v>605</v>
      </c>
      <c r="D2725" s="13" t="s">
        <v>697</v>
      </c>
      <c r="E2725" s="13" t="s">
        <v>93</v>
      </c>
      <c r="F2725" s="13" t="s">
        <v>2362</v>
      </c>
      <c r="G2725" s="20" t="str">
        <f>HYPERLINK("https://semena-nn.ru/catalog/55/1123517","Фото")</f>
        <v>Фото</v>
      </c>
      <c r="H2725" s="19">
        <v>47.35</v>
      </c>
      <c r="I2725" s="27"/>
      <c r="J2725" s="13">
        <f>H2725*I2725</f>
        <v>0</v>
      </c>
    </row>
    <row r="2726" spans="1:10" ht="12" customHeight="1">
      <c r="A2726" s="13" t="s">
        <v>2368</v>
      </c>
      <c r="B2726" s="13" t="s">
        <v>2369</v>
      </c>
      <c r="C2726" s="13" t="s">
        <v>605</v>
      </c>
      <c r="D2726" s="13" t="s">
        <v>697</v>
      </c>
      <c r="E2726" s="13" t="s">
        <v>93</v>
      </c>
      <c r="F2726" s="13" t="s">
        <v>2370</v>
      </c>
      <c r="G2726" s="20" t="str">
        <f>HYPERLINK("https://semena-nn.ru/catalog/55/1282802","Фото")</f>
        <v>Фото</v>
      </c>
      <c r="H2726" s="19">
        <v>47.35</v>
      </c>
      <c r="I2726" s="27"/>
      <c r="J2726" s="13">
        <f>H2726*I2726</f>
        <v>0</v>
      </c>
    </row>
    <row r="2727" spans="1:10" ht="12" customHeight="1">
      <c r="A2727" s="13" t="s">
        <v>2371</v>
      </c>
      <c r="B2727" s="13" t="s">
        <v>2372</v>
      </c>
      <c r="C2727" s="13" t="s">
        <v>605</v>
      </c>
      <c r="D2727" s="13" t="s">
        <v>697</v>
      </c>
      <c r="E2727" s="13" t="s">
        <v>93</v>
      </c>
      <c r="F2727" s="13" t="s">
        <v>2373</v>
      </c>
      <c r="G2727" s="20" t="str">
        <f>HYPERLINK("https://semena-nn.ru/catalog/55/888000000116","Фото")</f>
        <v>Фото</v>
      </c>
      <c r="H2727" s="19">
        <v>47.35</v>
      </c>
      <c r="I2727" s="27"/>
      <c r="J2727" s="13">
        <f>H2727*I2727</f>
        <v>0</v>
      </c>
    </row>
    <row r="2728" spans="1:10" ht="12" customHeight="1">
      <c r="A2728" s="13" t="s">
        <v>2374</v>
      </c>
      <c r="B2728" s="13" t="s">
        <v>2375</v>
      </c>
      <c r="C2728" s="13" t="s">
        <v>605</v>
      </c>
      <c r="D2728" s="13" t="s">
        <v>697</v>
      </c>
      <c r="E2728" s="13" t="s">
        <v>93</v>
      </c>
      <c r="F2728" s="13" t="s">
        <v>2376</v>
      </c>
      <c r="G2728" s="20" t="str">
        <f>HYPERLINK("https://semena-nn.ru/catalog/55/999000012856","Фото")</f>
        <v>Фото</v>
      </c>
      <c r="H2728" s="19">
        <v>47.35</v>
      </c>
      <c r="I2728" s="27"/>
      <c r="J2728" s="13">
        <f>H2728*I2728</f>
        <v>0</v>
      </c>
    </row>
    <row r="2729" spans="1:10" ht="12" customHeight="1">
      <c r="A2729" s="13" t="s">
        <v>2377</v>
      </c>
      <c r="B2729" s="13" t="s">
        <v>2378</v>
      </c>
      <c r="C2729" s="13" t="s">
        <v>605</v>
      </c>
      <c r="D2729" s="13" t="s">
        <v>697</v>
      </c>
      <c r="E2729" s="13" t="s">
        <v>93</v>
      </c>
      <c r="F2729" s="13" t="s">
        <v>2376</v>
      </c>
      <c r="G2729" s="20" t="str">
        <f>HYPERLINK("https://semena-nn.ru/catalog/55/999000011130","Фото")</f>
        <v>Фото</v>
      </c>
      <c r="H2729" s="19">
        <v>47.35</v>
      </c>
      <c r="I2729" s="27"/>
      <c r="J2729" s="13">
        <f>H2729*I2729</f>
        <v>0</v>
      </c>
    </row>
    <row r="2730" spans="1:10" ht="12" customHeight="1">
      <c r="A2730" s="13" t="s">
        <v>2379</v>
      </c>
      <c r="B2730" s="13" t="s">
        <v>2380</v>
      </c>
      <c r="C2730" s="13" t="s">
        <v>605</v>
      </c>
      <c r="D2730" s="13" t="s">
        <v>697</v>
      </c>
      <c r="E2730" s="13" t="s">
        <v>93</v>
      </c>
      <c r="F2730" s="13" t="s">
        <v>2381</v>
      </c>
      <c r="G2730" s="20" t="str">
        <f>HYPERLINK("https://semena-nn.ru/catalog/55/999000003853","Фото")</f>
        <v>Фото</v>
      </c>
      <c r="H2730" s="19">
        <v>47.35</v>
      </c>
      <c r="I2730" s="27"/>
      <c r="J2730" s="13">
        <f>H2730*I2730</f>
        <v>0</v>
      </c>
    </row>
    <row r="2731" spans="1:10" ht="12" customHeight="1">
      <c r="A2731" s="13" t="s">
        <v>2382</v>
      </c>
      <c r="B2731" s="13" t="s">
        <v>2383</v>
      </c>
      <c r="C2731" s="13" t="s">
        <v>605</v>
      </c>
      <c r="D2731" s="13" t="s">
        <v>697</v>
      </c>
      <c r="E2731" s="13" t="s">
        <v>93</v>
      </c>
      <c r="F2731" s="13" t="s">
        <v>2384</v>
      </c>
      <c r="G2731" s="20" t="str">
        <f>HYPERLINK("https://semena-nn.ru/catalog/55/1282803","Фото")</f>
        <v>Фото</v>
      </c>
      <c r="H2731" s="19">
        <v>47.35</v>
      </c>
      <c r="I2731" s="27"/>
      <c r="J2731" s="13">
        <f>H2731*I2731</f>
        <v>0</v>
      </c>
    </row>
    <row r="2732" spans="1:10" ht="12" customHeight="1">
      <c r="A2732" s="13" t="s">
        <v>657</v>
      </c>
      <c r="B2732" s="13" t="s">
        <v>658</v>
      </c>
      <c r="C2732" s="13" t="s">
        <v>605</v>
      </c>
      <c r="D2732" s="13" t="s">
        <v>28</v>
      </c>
      <c r="E2732" s="13" t="s">
        <v>93</v>
      </c>
      <c r="F2732" s="13" t="s">
        <v>659</v>
      </c>
      <c r="G2732" s="20" t="str">
        <f>HYPERLINK("https://semena-nn.ru/catalog/55/999000010008","Фото")</f>
        <v>Фото</v>
      </c>
      <c r="H2732" s="19">
        <v>63.42</v>
      </c>
      <c r="I2732" s="27"/>
      <c r="J2732" s="13">
        <f>H2732*I2732</f>
        <v>0</v>
      </c>
    </row>
    <row r="2733" spans="1:10" ht="12" customHeight="1">
      <c r="A2733" s="13" t="s">
        <v>660</v>
      </c>
      <c r="B2733" s="13" t="s">
        <v>661</v>
      </c>
      <c r="C2733" s="13" t="s">
        <v>605</v>
      </c>
      <c r="D2733" s="13" t="s">
        <v>28</v>
      </c>
      <c r="E2733" s="13" t="s">
        <v>93</v>
      </c>
      <c r="F2733" s="13" t="s">
        <v>662</v>
      </c>
      <c r="G2733" s="20" t="str">
        <f>HYPERLINK("https://semena-nn.ru/catalog/55/999000010009","Фото")</f>
        <v>Фото</v>
      </c>
      <c r="H2733" s="19">
        <v>63.42</v>
      </c>
      <c r="I2733" s="27"/>
      <c r="J2733" s="13">
        <f>H2733*I2733</f>
        <v>0</v>
      </c>
    </row>
    <row r="2734" spans="1:10" ht="12" customHeight="1">
      <c r="A2734" s="13" t="s">
        <v>2385</v>
      </c>
      <c r="B2734" s="13" t="s">
        <v>2386</v>
      </c>
      <c r="C2734" s="13" t="s">
        <v>605</v>
      </c>
      <c r="D2734" s="13" t="s">
        <v>697</v>
      </c>
      <c r="E2734" s="13" t="s">
        <v>93</v>
      </c>
      <c r="F2734" s="13" t="s">
        <v>2387</v>
      </c>
      <c r="G2734" s="20" t="str">
        <f>HYPERLINK("https://semena-nn.ru/catalog/55/1298539","Фото")</f>
        <v>Фото</v>
      </c>
      <c r="H2734" s="18">
        <v>39.5</v>
      </c>
      <c r="I2734" s="27"/>
      <c r="J2734" s="13">
        <f>H2734*I2734</f>
        <v>0</v>
      </c>
    </row>
    <row r="2735" spans="1:10" ht="12" customHeight="1">
      <c r="A2735" s="13" t="s">
        <v>2388</v>
      </c>
      <c r="B2735" s="13" t="s">
        <v>2389</v>
      </c>
      <c r="C2735" s="13" t="s">
        <v>605</v>
      </c>
      <c r="D2735" s="13" t="s">
        <v>697</v>
      </c>
      <c r="E2735" s="13" t="s">
        <v>93</v>
      </c>
      <c r="F2735" s="13" t="s">
        <v>2390</v>
      </c>
      <c r="G2735" s="20" t="str">
        <f>HYPERLINK("https://semena-nn.ru/catalog/55/999000012858","Фото")</f>
        <v>Фото</v>
      </c>
      <c r="H2735" s="18">
        <v>70.5</v>
      </c>
      <c r="I2735" s="27"/>
      <c r="J2735" s="13">
        <f>H2735*I2735</f>
        <v>0</v>
      </c>
    </row>
    <row r="2736" spans="1:10" ht="12" customHeight="1">
      <c r="A2736" s="13" t="s">
        <v>5989</v>
      </c>
      <c r="B2736" s="13" t="s">
        <v>5990</v>
      </c>
      <c r="C2736" s="13" t="s">
        <v>605</v>
      </c>
      <c r="D2736" s="13" t="s">
        <v>5834</v>
      </c>
      <c r="E2736" s="13" t="s">
        <v>93</v>
      </c>
      <c r="F2736" s="13" t="s">
        <v>5991</v>
      </c>
      <c r="G2736" s="20" t="str">
        <f>HYPERLINK("https://semena-nn.ru/catalog/55/888000001599","Фото")</f>
        <v>Фото</v>
      </c>
      <c r="H2736" s="19">
        <v>36.75</v>
      </c>
      <c r="I2736" s="27"/>
      <c r="J2736" s="13">
        <f>H2736*I2736</f>
        <v>0</v>
      </c>
    </row>
    <row r="2737" spans="1:10" ht="12" customHeight="1">
      <c r="A2737" s="13" t="s">
        <v>5992</v>
      </c>
      <c r="B2737" s="13" t="s">
        <v>5993</v>
      </c>
      <c r="C2737" s="13" t="s">
        <v>605</v>
      </c>
      <c r="D2737" s="13" t="s">
        <v>5834</v>
      </c>
      <c r="E2737" s="13" t="s">
        <v>93</v>
      </c>
      <c r="F2737" s="13" t="s">
        <v>5994</v>
      </c>
      <c r="G2737" s="20" t="str">
        <f>HYPERLINK("https://semena-nn.ru/catalog/55/888000001600","Фото")</f>
        <v>Фото</v>
      </c>
      <c r="H2737" s="19">
        <v>36.54</v>
      </c>
      <c r="I2737" s="27"/>
      <c r="J2737" s="13">
        <f>H2737*I2737</f>
        <v>0</v>
      </c>
    </row>
    <row r="2738" spans="1:10" ht="12" customHeight="1">
      <c r="A2738" s="13" t="s">
        <v>5995</v>
      </c>
      <c r="B2738" s="13" t="s">
        <v>5996</v>
      </c>
      <c r="C2738" s="13" t="s">
        <v>605</v>
      </c>
      <c r="D2738" s="13" t="s">
        <v>5834</v>
      </c>
      <c r="E2738" s="13" t="s">
        <v>93</v>
      </c>
      <c r="F2738" s="13" t="s">
        <v>5997</v>
      </c>
      <c r="G2738" s="20" t="str">
        <f>HYPERLINK("https://semena-nn.ru/catalog/55/888000001601","Фото")</f>
        <v>Фото</v>
      </c>
      <c r="H2738" s="19">
        <v>36.229999999999997</v>
      </c>
      <c r="I2738" s="27"/>
      <c r="J2738" s="13">
        <f>H2738*I2738</f>
        <v>0</v>
      </c>
    </row>
    <row r="2739" spans="1:10" ht="12" customHeight="1">
      <c r="A2739" s="13" t="s">
        <v>4771</v>
      </c>
      <c r="B2739" s="13" t="s">
        <v>4772</v>
      </c>
      <c r="C2739" s="13" t="s">
        <v>605</v>
      </c>
      <c r="D2739" s="13" t="s">
        <v>3475</v>
      </c>
      <c r="E2739" s="13" t="s">
        <v>93</v>
      </c>
      <c r="F2739" s="13" t="s">
        <v>4773</v>
      </c>
      <c r="G2739" s="20" t="str">
        <f>HYPERLINK("https://semena-nn.ru/catalog/55/1289321","Фото")</f>
        <v>Фото</v>
      </c>
      <c r="H2739" s="19">
        <v>34.65</v>
      </c>
      <c r="I2739" s="27"/>
      <c r="J2739" s="13">
        <f>H2739*I2739</f>
        <v>0</v>
      </c>
    </row>
    <row r="2740" spans="1:10" ht="12" customHeight="1">
      <c r="A2740" s="13" t="s">
        <v>2391</v>
      </c>
      <c r="B2740" s="13" t="s">
        <v>2392</v>
      </c>
      <c r="C2740" s="13" t="s">
        <v>605</v>
      </c>
      <c r="D2740" s="13" t="s">
        <v>697</v>
      </c>
      <c r="E2740" s="13" t="s">
        <v>93</v>
      </c>
      <c r="F2740" s="13" t="s">
        <v>2393</v>
      </c>
      <c r="G2740" s="20" t="str">
        <f>HYPERLINK("https://semena-nn.ru/catalog/55/1311237","Фото")</f>
        <v>Фото</v>
      </c>
      <c r="H2740" s="19">
        <v>38.25</v>
      </c>
      <c r="I2740" s="27"/>
      <c r="J2740" s="13">
        <f>H2740*I2740</f>
        <v>0</v>
      </c>
    </row>
    <row r="2741" spans="1:10" ht="12" customHeight="1">
      <c r="A2741" s="13" t="s">
        <v>6348</v>
      </c>
      <c r="B2741" s="13" t="s">
        <v>6349</v>
      </c>
      <c r="C2741" s="13" t="s">
        <v>605</v>
      </c>
      <c r="D2741" s="13" t="s">
        <v>6295</v>
      </c>
      <c r="E2741" s="13" t="s">
        <v>93</v>
      </c>
      <c r="F2741" s="13" t="s">
        <v>6350</v>
      </c>
      <c r="G2741" s="20" t="str">
        <f>HYPERLINK("https://semena-nn.ru/catalog/55/999000020371","Фото")</f>
        <v>Фото</v>
      </c>
      <c r="H2741" s="18">
        <v>262.5</v>
      </c>
      <c r="I2741" s="27"/>
      <c r="J2741" s="13">
        <f>H2741*I2741</f>
        <v>0</v>
      </c>
    </row>
    <row r="2742" spans="1:10" ht="12" customHeight="1">
      <c r="A2742" s="13" t="s">
        <v>4774</v>
      </c>
      <c r="B2742" s="13" t="s">
        <v>4775</v>
      </c>
      <c r="C2742" s="13" t="s">
        <v>605</v>
      </c>
      <c r="D2742" s="13" t="s">
        <v>3475</v>
      </c>
      <c r="E2742" s="13" t="s">
        <v>93</v>
      </c>
      <c r="F2742" s="13" t="s">
        <v>4776</v>
      </c>
      <c r="G2742" s="20" t="str">
        <f>HYPERLINK("https://semena-nn.ru/catalog/55/999000012752","Фото")</f>
        <v>Фото</v>
      </c>
      <c r="H2742" s="19">
        <v>80.849999999999994</v>
      </c>
      <c r="I2742" s="27"/>
      <c r="J2742" s="13">
        <f>H2742*I2742</f>
        <v>0</v>
      </c>
    </row>
    <row r="2743" spans="1:10" ht="12" customHeight="1">
      <c r="A2743" s="13" t="s">
        <v>4777</v>
      </c>
      <c r="B2743" s="13" t="s">
        <v>4778</v>
      </c>
      <c r="C2743" s="13" t="s">
        <v>605</v>
      </c>
      <c r="D2743" s="13" t="s">
        <v>3475</v>
      </c>
      <c r="E2743" s="13" t="s">
        <v>93</v>
      </c>
      <c r="F2743" s="13" t="s">
        <v>4779</v>
      </c>
      <c r="G2743" s="20" t="str">
        <f>HYPERLINK("https://semena-nn.ru/catalog/55/1304973","Фото")</f>
        <v>Фото</v>
      </c>
      <c r="H2743" s="19">
        <v>80.849999999999994</v>
      </c>
      <c r="I2743" s="27"/>
      <c r="J2743" s="13">
        <f>H2743*I2743</f>
        <v>0</v>
      </c>
    </row>
    <row r="2744" spans="1:10" ht="12" customHeight="1">
      <c r="A2744" s="13" t="s">
        <v>2394</v>
      </c>
      <c r="B2744" s="13" t="s">
        <v>2395</v>
      </c>
      <c r="C2744" s="13" t="s">
        <v>605</v>
      </c>
      <c r="D2744" s="13" t="s">
        <v>697</v>
      </c>
      <c r="E2744" s="13" t="s">
        <v>93</v>
      </c>
      <c r="F2744" s="13" t="s">
        <v>2396</v>
      </c>
      <c r="G2744" s="20" t="str">
        <f>HYPERLINK("https://semena-nn.ru/catalog/55/1118131","Фото")</f>
        <v>Фото</v>
      </c>
      <c r="H2744" s="18">
        <v>31.5</v>
      </c>
      <c r="I2744" s="27"/>
      <c r="J2744" s="13">
        <f>H2744*I2744</f>
        <v>0</v>
      </c>
    </row>
    <row r="2745" spans="1:10" ht="12" customHeight="1">
      <c r="A2745" s="13" t="s">
        <v>2397</v>
      </c>
      <c r="B2745" s="13" t="s">
        <v>2398</v>
      </c>
      <c r="C2745" s="13" t="s">
        <v>605</v>
      </c>
      <c r="D2745" s="13" t="s">
        <v>697</v>
      </c>
      <c r="E2745" s="13" t="s">
        <v>93</v>
      </c>
      <c r="F2745" s="13" t="s">
        <v>2399</v>
      </c>
      <c r="G2745" s="20" t="str">
        <f>HYPERLINK("https://semena-nn.ru/catalog/55/1298524","Фото")</f>
        <v>Фото</v>
      </c>
      <c r="H2745" s="19">
        <v>36.35</v>
      </c>
      <c r="I2745" s="27"/>
      <c r="J2745" s="13">
        <f>H2745*I2745</f>
        <v>0</v>
      </c>
    </row>
    <row r="2746" spans="1:10" ht="12" customHeight="1">
      <c r="A2746" s="13" t="s">
        <v>6782</v>
      </c>
      <c r="B2746" s="13" t="s">
        <v>6783</v>
      </c>
      <c r="C2746" s="13" t="s">
        <v>605</v>
      </c>
      <c r="D2746" s="13" t="s">
        <v>87</v>
      </c>
      <c r="E2746" s="13" t="s">
        <v>93</v>
      </c>
      <c r="F2746" s="13" t="s">
        <v>6784</v>
      </c>
      <c r="G2746" s="20" t="str">
        <f>HYPERLINK("https://semena-nn.ru/catalog/55/1303262","Фото")</f>
        <v>Фото</v>
      </c>
      <c r="H2746" s="15">
        <v>168</v>
      </c>
      <c r="I2746" s="27"/>
      <c r="J2746" s="13">
        <f>H2746*I2746</f>
        <v>0</v>
      </c>
    </row>
    <row r="2747" spans="1:10" ht="12" customHeight="1">
      <c r="A2747" s="13" t="s">
        <v>4780</v>
      </c>
      <c r="B2747" s="13" t="s">
        <v>4781</v>
      </c>
      <c r="C2747" s="13" t="s">
        <v>605</v>
      </c>
      <c r="D2747" s="13" t="s">
        <v>3475</v>
      </c>
      <c r="E2747" s="13" t="s">
        <v>93</v>
      </c>
      <c r="F2747" s="13" t="s">
        <v>4782</v>
      </c>
      <c r="G2747" s="20" t="str">
        <f>HYPERLINK("https://semena-nn.ru/catalog/55/999000013022","Фото")</f>
        <v>Фото</v>
      </c>
      <c r="H2747" s="19">
        <v>156.44999999999999</v>
      </c>
      <c r="I2747" s="27"/>
      <c r="J2747" s="13">
        <f>H2747*I2747</f>
        <v>0</v>
      </c>
    </row>
    <row r="2748" spans="1:10" ht="12" customHeight="1">
      <c r="A2748" s="13" t="s">
        <v>6785</v>
      </c>
      <c r="B2748" s="13" t="s">
        <v>6786</v>
      </c>
      <c r="C2748" s="13" t="s">
        <v>605</v>
      </c>
      <c r="D2748" s="13" t="s">
        <v>87</v>
      </c>
      <c r="E2748" s="13" t="s">
        <v>93</v>
      </c>
      <c r="F2748" s="13" t="s">
        <v>6787</v>
      </c>
      <c r="G2748" s="20" t="str">
        <f>HYPERLINK("https://semena-nn.ru/catalog/55/888000000186","Фото")</f>
        <v>Фото</v>
      </c>
      <c r="H2748" s="15">
        <v>168</v>
      </c>
      <c r="I2748" s="27"/>
      <c r="J2748" s="13">
        <f>H2748*I2748</f>
        <v>0</v>
      </c>
    </row>
    <row r="2749" spans="1:10" ht="12" customHeight="1">
      <c r="A2749" s="13" t="s">
        <v>6788</v>
      </c>
      <c r="B2749" s="13" t="s">
        <v>6789</v>
      </c>
      <c r="C2749" s="13" t="s">
        <v>605</v>
      </c>
      <c r="D2749" s="13" t="s">
        <v>87</v>
      </c>
      <c r="E2749" s="13" t="s">
        <v>93</v>
      </c>
      <c r="F2749" s="13" t="s">
        <v>6790</v>
      </c>
      <c r="G2749" s="20" t="str">
        <f>HYPERLINK("https://semena-nn.ru/catalog/55/1310146","Фото")</f>
        <v>Фото</v>
      </c>
      <c r="H2749" s="15">
        <v>168</v>
      </c>
      <c r="I2749" s="27"/>
      <c r="J2749" s="13">
        <f>H2749*I2749</f>
        <v>0</v>
      </c>
    </row>
    <row r="2750" spans="1:10" ht="12" customHeight="1">
      <c r="A2750" s="13" t="s">
        <v>2400</v>
      </c>
      <c r="B2750" s="13" t="s">
        <v>2401</v>
      </c>
      <c r="C2750" s="13" t="s">
        <v>605</v>
      </c>
      <c r="D2750" s="13" t="s">
        <v>697</v>
      </c>
      <c r="E2750" s="13" t="s">
        <v>93</v>
      </c>
      <c r="F2750" s="13" t="s">
        <v>2402</v>
      </c>
      <c r="G2750" s="20" t="str">
        <f>HYPERLINK("https://semena-nn.ru/catalog/55/999000000593","Фото")</f>
        <v>Фото</v>
      </c>
      <c r="H2750" s="19">
        <v>37.85</v>
      </c>
      <c r="I2750" s="27"/>
      <c r="J2750" s="13">
        <f>H2750*I2750</f>
        <v>0</v>
      </c>
    </row>
    <row r="2751" spans="1:10" ht="12" customHeight="1">
      <c r="A2751" s="13" t="s">
        <v>2403</v>
      </c>
      <c r="B2751" s="13" t="s">
        <v>2404</v>
      </c>
      <c r="C2751" s="13" t="s">
        <v>605</v>
      </c>
      <c r="D2751" s="13" t="s">
        <v>697</v>
      </c>
      <c r="E2751" s="13" t="s">
        <v>93</v>
      </c>
      <c r="F2751" s="13" t="s">
        <v>2405</v>
      </c>
      <c r="G2751" s="20" t="str">
        <f>HYPERLINK("https://semena-nn.ru/catalog/55/1119693","Фото")</f>
        <v>Фото</v>
      </c>
      <c r="H2751" s="19">
        <v>37.85</v>
      </c>
      <c r="I2751" s="27"/>
      <c r="J2751" s="13">
        <f>H2751*I2751</f>
        <v>0</v>
      </c>
    </row>
    <row r="2752" spans="1:10" ht="12" customHeight="1">
      <c r="A2752" s="13" t="s">
        <v>2406</v>
      </c>
      <c r="B2752" s="13" t="s">
        <v>2407</v>
      </c>
      <c r="C2752" s="13" t="s">
        <v>605</v>
      </c>
      <c r="D2752" s="13" t="s">
        <v>697</v>
      </c>
      <c r="E2752" s="13" t="s">
        <v>93</v>
      </c>
      <c r="F2752" s="13" t="s">
        <v>2408</v>
      </c>
      <c r="G2752" s="20" t="str">
        <f>HYPERLINK("https://semena-nn.ru/catalog/55/888000007535","Фото")</f>
        <v>Фото</v>
      </c>
      <c r="H2752" s="19">
        <v>37.85</v>
      </c>
      <c r="I2752" s="27"/>
      <c r="J2752" s="13">
        <f>H2752*I2752</f>
        <v>0</v>
      </c>
    </row>
    <row r="2753" spans="1:10" ht="12" customHeight="1">
      <c r="A2753" s="13" t="s">
        <v>4783</v>
      </c>
      <c r="B2753" s="13" t="s">
        <v>4784</v>
      </c>
      <c r="C2753" s="13" t="s">
        <v>605</v>
      </c>
      <c r="D2753" s="13" t="s">
        <v>3475</v>
      </c>
      <c r="E2753" s="13" t="s">
        <v>93</v>
      </c>
      <c r="F2753" s="13" t="s">
        <v>4785</v>
      </c>
      <c r="G2753" s="20" t="str">
        <f>HYPERLINK("https://semena-nn.ru/catalog/55/1290183","Фото")</f>
        <v>Фото</v>
      </c>
      <c r="H2753" s="18">
        <v>45.5</v>
      </c>
      <c r="I2753" s="27"/>
      <c r="J2753" s="13">
        <f>H2753*I2753</f>
        <v>0</v>
      </c>
    </row>
    <row r="2754" spans="1:10" ht="12" customHeight="1">
      <c r="A2754" s="13" t="s">
        <v>6791</v>
      </c>
      <c r="B2754" s="13" t="s">
        <v>6792</v>
      </c>
      <c r="C2754" s="13" t="s">
        <v>605</v>
      </c>
      <c r="D2754" s="13" t="s">
        <v>87</v>
      </c>
      <c r="E2754" s="13" t="s">
        <v>93</v>
      </c>
      <c r="F2754" s="13" t="s">
        <v>6793</v>
      </c>
      <c r="G2754" s="20" t="str">
        <f>HYPERLINK("https://semena-nn.ru/catalog/55/1126333","Фото")</f>
        <v>Фото</v>
      </c>
      <c r="H2754" s="19">
        <v>80.849999999999994</v>
      </c>
      <c r="I2754" s="27"/>
      <c r="J2754" s="13">
        <f>H2754*I2754</f>
        <v>0</v>
      </c>
    </row>
    <row r="2755" spans="1:10" ht="12" customHeight="1">
      <c r="A2755" s="13" t="s">
        <v>4786</v>
      </c>
      <c r="B2755" s="13" t="s">
        <v>4787</v>
      </c>
      <c r="C2755" s="13" t="s">
        <v>605</v>
      </c>
      <c r="D2755" s="13" t="s">
        <v>3475</v>
      </c>
      <c r="E2755" s="13" t="s">
        <v>93</v>
      </c>
      <c r="F2755" s="13" t="s">
        <v>4788</v>
      </c>
      <c r="G2755" s="20" t="str">
        <f>HYPERLINK("https://semena-nn.ru/catalog/55/1285968","Фото")</f>
        <v>Фото</v>
      </c>
      <c r="H2755" s="19">
        <v>54.26</v>
      </c>
      <c r="I2755" s="27"/>
      <c r="J2755" s="13">
        <f>H2755*I2755</f>
        <v>0</v>
      </c>
    </row>
    <row r="2756" spans="1:10" ht="12" customHeight="1">
      <c r="A2756" s="13" t="s">
        <v>6794</v>
      </c>
      <c r="B2756" s="13" t="s">
        <v>6795</v>
      </c>
      <c r="C2756" s="13" t="s">
        <v>605</v>
      </c>
      <c r="D2756" s="13" t="s">
        <v>87</v>
      </c>
      <c r="E2756" s="13" t="s">
        <v>93</v>
      </c>
      <c r="F2756" s="13" t="s">
        <v>6796</v>
      </c>
      <c r="G2756" s="20" t="str">
        <f>HYPERLINK("https://semena-nn.ru/catalog/55/1310874","Фото")</f>
        <v>Фото</v>
      </c>
      <c r="H2756" s="19">
        <v>80.849999999999994</v>
      </c>
      <c r="I2756" s="27"/>
      <c r="J2756" s="13">
        <f>H2756*I2756</f>
        <v>0</v>
      </c>
    </row>
    <row r="2757" spans="1:10" ht="12" customHeight="1">
      <c r="A2757" s="13" t="s">
        <v>4789</v>
      </c>
      <c r="B2757" s="13" t="s">
        <v>4790</v>
      </c>
      <c r="C2757" s="13" t="s">
        <v>605</v>
      </c>
      <c r="D2757" s="13" t="s">
        <v>3475</v>
      </c>
      <c r="E2757" s="13" t="s">
        <v>93</v>
      </c>
      <c r="F2757" s="13" t="s">
        <v>4791</v>
      </c>
      <c r="G2757" s="20" t="str">
        <f>HYPERLINK("https://semena-nn.ru/catalog/55/1285969","Фото")</f>
        <v>Фото</v>
      </c>
      <c r="H2757" s="19">
        <v>54.26</v>
      </c>
      <c r="I2757" s="27"/>
      <c r="J2757" s="13">
        <f>H2757*I2757</f>
        <v>0</v>
      </c>
    </row>
    <row r="2758" spans="1:10" ht="12" customHeight="1">
      <c r="A2758" s="13" t="s">
        <v>6351</v>
      </c>
      <c r="B2758" s="13" t="s">
        <v>6352</v>
      </c>
      <c r="C2758" s="13" t="s">
        <v>605</v>
      </c>
      <c r="D2758" s="13" t="s">
        <v>6295</v>
      </c>
      <c r="E2758" s="13" t="s">
        <v>93</v>
      </c>
      <c r="F2758" s="13" t="s">
        <v>6353</v>
      </c>
      <c r="G2758" s="20" t="str">
        <f>HYPERLINK("https://semena-nn.ru/catalog/55/999000011444","Фото")</f>
        <v>Фото</v>
      </c>
      <c r="H2758" s="18">
        <v>262.5</v>
      </c>
      <c r="I2758" s="27"/>
      <c r="J2758" s="13">
        <f>H2758*I2758</f>
        <v>0</v>
      </c>
    </row>
    <row r="2759" spans="1:10" ht="12" customHeight="1">
      <c r="A2759" s="13" t="s">
        <v>5998</v>
      </c>
      <c r="B2759" s="13" t="s">
        <v>5999</v>
      </c>
      <c r="C2759" s="13" t="s">
        <v>605</v>
      </c>
      <c r="D2759" s="13" t="s">
        <v>5834</v>
      </c>
      <c r="E2759" s="13" t="s">
        <v>93</v>
      </c>
      <c r="F2759" s="13" t="s">
        <v>6000</v>
      </c>
      <c r="G2759" s="20" t="str">
        <f>HYPERLINK("https://semena-nn.ru/catalog/55/888000001604","Фото")</f>
        <v>Фото</v>
      </c>
      <c r="H2759" s="19">
        <v>29.72</v>
      </c>
      <c r="I2759" s="27"/>
      <c r="J2759" s="13">
        <f>H2759*I2759</f>
        <v>0</v>
      </c>
    </row>
    <row r="2760" spans="1:10" ht="12" customHeight="1">
      <c r="A2760" s="13" t="s">
        <v>6001</v>
      </c>
      <c r="B2760" s="13" t="s">
        <v>6002</v>
      </c>
      <c r="C2760" s="13" t="s">
        <v>605</v>
      </c>
      <c r="D2760" s="13" t="s">
        <v>5834</v>
      </c>
      <c r="E2760" s="13" t="s">
        <v>93</v>
      </c>
      <c r="F2760" s="13" t="s">
        <v>6003</v>
      </c>
      <c r="G2760" s="20" t="str">
        <f>HYPERLINK("https://semena-nn.ru/catalog/55/888000001605","Фото")</f>
        <v>Фото</v>
      </c>
      <c r="H2760" s="18">
        <v>35.700000000000003</v>
      </c>
      <c r="I2760" s="27"/>
      <c r="J2760" s="13">
        <f>H2760*I2760</f>
        <v>0</v>
      </c>
    </row>
    <row r="2761" spans="1:10" ht="12" customHeight="1">
      <c r="A2761" s="13" t="s">
        <v>2409</v>
      </c>
      <c r="B2761" s="13" t="s">
        <v>2410</v>
      </c>
      <c r="C2761" s="13" t="s">
        <v>605</v>
      </c>
      <c r="D2761" s="13" t="s">
        <v>697</v>
      </c>
      <c r="E2761" s="13" t="s">
        <v>93</v>
      </c>
      <c r="F2761" s="13" t="s">
        <v>2411</v>
      </c>
      <c r="G2761" s="20" t="str">
        <f>HYPERLINK("https://semena-nn.ru/catalog/55/999000005751","Фото")</f>
        <v>Фото</v>
      </c>
      <c r="H2761" s="18">
        <v>74.2</v>
      </c>
      <c r="I2761" s="27"/>
      <c r="J2761" s="13">
        <f>H2761*I2761</f>
        <v>0</v>
      </c>
    </row>
    <row r="2762" spans="1:10" ht="12" customHeight="1">
      <c r="A2762" s="13" t="s">
        <v>2412</v>
      </c>
      <c r="B2762" s="13" t="s">
        <v>2413</v>
      </c>
      <c r="C2762" s="13" t="s">
        <v>605</v>
      </c>
      <c r="D2762" s="13" t="s">
        <v>697</v>
      </c>
      <c r="E2762" s="13" t="s">
        <v>93</v>
      </c>
      <c r="F2762" s="13" t="s">
        <v>2414</v>
      </c>
      <c r="G2762" s="20" t="str">
        <f>HYPERLINK("https://semena-nn.ru/catalog/55/110186","Фото")</f>
        <v>Фото</v>
      </c>
      <c r="H2762" s="18">
        <v>50.6</v>
      </c>
      <c r="I2762" s="27"/>
      <c r="J2762" s="13">
        <f>H2762*I2762</f>
        <v>0</v>
      </c>
    </row>
    <row r="2763" spans="1:10" ht="12" customHeight="1">
      <c r="A2763" s="13" t="s">
        <v>2415</v>
      </c>
      <c r="B2763" s="13" t="s">
        <v>2416</v>
      </c>
      <c r="C2763" s="13" t="s">
        <v>605</v>
      </c>
      <c r="D2763" s="13" t="s">
        <v>697</v>
      </c>
      <c r="E2763" s="13" t="s">
        <v>93</v>
      </c>
      <c r="F2763" s="13" t="s">
        <v>2417</v>
      </c>
      <c r="G2763" s="20" t="str">
        <f>HYPERLINK("http://semena-nn.ru/catalog/55/1308657","Фото")</f>
        <v>Фото</v>
      </c>
      <c r="H2763" s="18">
        <v>52.2</v>
      </c>
      <c r="I2763" s="27"/>
      <c r="J2763" s="13">
        <f>H2763*I2763</f>
        <v>0</v>
      </c>
    </row>
    <row r="2764" spans="1:10" ht="12" customHeight="1">
      <c r="A2764" s="13" t="s">
        <v>2418</v>
      </c>
      <c r="B2764" s="13" t="s">
        <v>2419</v>
      </c>
      <c r="C2764" s="13" t="s">
        <v>671</v>
      </c>
      <c r="D2764" s="13" t="s">
        <v>697</v>
      </c>
      <c r="E2764" s="13" t="s">
        <v>93</v>
      </c>
      <c r="F2764" s="13" t="s">
        <v>2420</v>
      </c>
      <c r="G2764" s="20" t="str">
        <f>HYPERLINK("https://semena-nn.ru/catalog/56/1304394","Фото")</f>
        <v>Фото</v>
      </c>
      <c r="H2764" s="18">
        <v>77.900000000000006</v>
      </c>
      <c r="I2764" s="27"/>
      <c r="J2764" s="13">
        <f>H2764*I2764</f>
        <v>0</v>
      </c>
    </row>
    <row r="2765" spans="1:10" ht="12" customHeight="1">
      <c r="A2765" s="13" t="s">
        <v>6354</v>
      </c>
      <c r="B2765" s="13" t="s">
        <v>6355</v>
      </c>
      <c r="C2765" s="13" t="s">
        <v>605</v>
      </c>
      <c r="D2765" s="13" t="s">
        <v>6295</v>
      </c>
      <c r="E2765" s="13" t="s">
        <v>93</v>
      </c>
      <c r="F2765" s="13" t="s">
        <v>6356</v>
      </c>
      <c r="G2765" s="20" t="str">
        <f>HYPERLINK("https://semena-nn.ru/catalog/55/999000020374","Фото")</f>
        <v>Фото</v>
      </c>
      <c r="H2765" s="18">
        <v>262.5</v>
      </c>
      <c r="I2765" s="27"/>
      <c r="J2765" s="13">
        <f>H2765*I2765</f>
        <v>0</v>
      </c>
    </row>
    <row r="2766" spans="1:10" ht="12" customHeight="1">
      <c r="A2766" s="13" t="s">
        <v>4792</v>
      </c>
      <c r="B2766" s="13" t="s">
        <v>4793</v>
      </c>
      <c r="C2766" s="13" t="s">
        <v>605</v>
      </c>
      <c r="D2766" s="13" t="s">
        <v>3475</v>
      </c>
      <c r="E2766" s="13" t="s">
        <v>93</v>
      </c>
      <c r="F2766" s="13" t="s">
        <v>4794</v>
      </c>
      <c r="G2766" s="20" t="str">
        <f>HYPERLINK("https://semena-nn.ru/catalog/55/1115430","Фото")</f>
        <v>Фото</v>
      </c>
      <c r="H2766" s="19">
        <v>43.05</v>
      </c>
      <c r="I2766" s="27"/>
      <c r="J2766" s="13">
        <f>H2766*I2766</f>
        <v>0</v>
      </c>
    </row>
    <row r="2767" spans="1:10" ht="12" customHeight="1">
      <c r="A2767" s="13" t="s">
        <v>663</v>
      </c>
      <c r="B2767" s="13" t="s">
        <v>664</v>
      </c>
      <c r="C2767" s="13" t="s">
        <v>605</v>
      </c>
      <c r="D2767" s="13" t="s">
        <v>28</v>
      </c>
      <c r="E2767" s="13" t="s">
        <v>93</v>
      </c>
      <c r="F2767" s="13" t="s">
        <v>665</v>
      </c>
      <c r="G2767" s="20" t="str">
        <f>HYPERLINK("https://semena-nn.ru/catalog/55/999000012996","Фото")</f>
        <v>Фото</v>
      </c>
      <c r="H2767" s="19">
        <v>190.47</v>
      </c>
      <c r="I2767" s="27"/>
      <c r="J2767" s="13">
        <f>H2767*I2767</f>
        <v>0</v>
      </c>
    </row>
    <row r="2768" spans="1:10" ht="12" customHeight="1">
      <c r="A2768" s="13" t="s">
        <v>4795</v>
      </c>
      <c r="B2768" s="13" t="s">
        <v>4796</v>
      </c>
      <c r="C2768" s="13" t="s">
        <v>605</v>
      </c>
      <c r="D2768" s="13" t="s">
        <v>3475</v>
      </c>
      <c r="E2768" s="13" t="s">
        <v>93</v>
      </c>
      <c r="F2768" s="13" t="s">
        <v>4797</v>
      </c>
      <c r="G2768" s="20" t="str">
        <f>HYPERLINK("https://semena-nn.ru/catalog/55/999000013023","Фото")</f>
        <v>Фото</v>
      </c>
      <c r="H2768" s="19">
        <v>116.55</v>
      </c>
      <c r="I2768" s="27"/>
      <c r="J2768" s="13">
        <f>H2768*I2768</f>
        <v>0</v>
      </c>
    </row>
    <row r="2769" spans="1:10" ht="12" customHeight="1">
      <c r="A2769" s="13" t="s">
        <v>4798</v>
      </c>
      <c r="B2769" s="13" t="s">
        <v>4799</v>
      </c>
      <c r="C2769" s="13" t="s">
        <v>605</v>
      </c>
      <c r="D2769" s="13" t="s">
        <v>3475</v>
      </c>
      <c r="E2769" s="13" t="s">
        <v>93</v>
      </c>
      <c r="F2769" s="13" t="s">
        <v>4800</v>
      </c>
      <c r="G2769" s="20" t="str">
        <f>HYPERLINK("https://semena-nn.ru/catalog/55/999000011867","Фото")</f>
        <v>Фото</v>
      </c>
      <c r="H2769" s="19">
        <v>116.55</v>
      </c>
      <c r="I2769" s="27"/>
      <c r="J2769" s="13">
        <f>H2769*I2769</f>
        <v>0</v>
      </c>
    </row>
    <row r="2770" spans="1:10" ht="12" customHeight="1">
      <c r="A2770" s="13" t="s">
        <v>4801</v>
      </c>
      <c r="B2770" s="13" t="s">
        <v>4802</v>
      </c>
      <c r="C2770" s="13" t="s">
        <v>605</v>
      </c>
      <c r="D2770" s="13" t="s">
        <v>3475</v>
      </c>
      <c r="E2770" s="13" t="s">
        <v>93</v>
      </c>
      <c r="F2770" s="13" t="s">
        <v>4803</v>
      </c>
      <c r="G2770" s="20" t="str">
        <f>HYPERLINK("https://semena-nn.ru/catalog/55/888000000182","Фото")</f>
        <v>Фото</v>
      </c>
      <c r="H2770" s="19">
        <v>116.55</v>
      </c>
      <c r="I2770" s="27"/>
      <c r="J2770" s="13">
        <f>H2770*I2770</f>
        <v>0</v>
      </c>
    </row>
    <row r="2771" spans="1:10" ht="12" customHeight="1">
      <c r="A2771" s="13" t="s">
        <v>4804</v>
      </c>
      <c r="B2771" s="13" t="s">
        <v>4805</v>
      </c>
      <c r="C2771" s="13" t="s">
        <v>605</v>
      </c>
      <c r="D2771" s="13" t="s">
        <v>3475</v>
      </c>
      <c r="E2771" s="13" t="s">
        <v>93</v>
      </c>
      <c r="F2771" s="13" t="s">
        <v>4806</v>
      </c>
      <c r="G2771" s="20" t="str">
        <f>HYPERLINK("https://semena-nn.ru/catalog/55/999000011869","Фото")</f>
        <v>Фото</v>
      </c>
      <c r="H2771" s="19">
        <v>116.55</v>
      </c>
      <c r="I2771" s="27"/>
      <c r="J2771" s="13">
        <f>H2771*I2771</f>
        <v>0</v>
      </c>
    </row>
    <row r="2772" spans="1:10" ht="12" customHeight="1">
      <c r="A2772" s="13" t="s">
        <v>2421</v>
      </c>
      <c r="B2772" s="13" t="s">
        <v>2422</v>
      </c>
      <c r="C2772" s="13" t="s">
        <v>671</v>
      </c>
      <c r="D2772" s="13" t="s">
        <v>697</v>
      </c>
      <c r="E2772" s="13" t="s">
        <v>93</v>
      </c>
      <c r="F2772" s="13" t="s">
        <v>2423</v>
      </c>
      <c r="G2772" s="20" t="str">
        <f>HYPERLINK("https://semena-nn.ru/catalog/56/999000005752","Фото")</f>
        <v>Фото</v>
      </c>
      <c r="H2772" s="18">
        <v>77.900000000000006</v>
      </c>
      <c r="I2772" s="27"/>
      <c r="J2772" s="13">
        <f>H2772*I2772</f>
        <v>0</v>
      </c>
    </row>
    <row r="2773" spans="1:10" ht="12" customHeight="1">
      <c r="A2773" s="13" t="s">
        <v>2424</v>
      </c>
      <c r="B2773" s="13" t="s">
        <v>2425</v>
      </c>
      <c r="C2773" s="13" t="s">
        <v>605</v>
      </c>
      <c r="D2773" s="13" t="s">
        <v>697</v>
      </c>
      <c r="E2773" s="13" t="s">
        <v>93</v>
      </c>
      <c r="F2773" s="13" t="s">
        <v>2426</v>
      </c>
      <c r="G2773" s="20" t="str">
        <f>HYPERLINK("https://semena-nn.ru/catalog/55/888000007536","Фото")</f>
        <v>Фото</v>
      </c>
      <c r="H2773" s="18">
        <v>52.2</v>
      </c>
      <c r="I2773" s="27"/>
      <c r="J2773" s="13">
        <f>H2773*I2773</f>
        <v>0</v>
      </c>
    </row>
    <row r="2774" spans="1:10" ht="12" customHeight="1">
      <c r="A2774" s="13" t="s">
        <v>2427</v>
      </c>
      <c r="B2774" s="13" t="s">
        <v>2428</v>
      </c>
      <c r="C2774" s="13" t="s">
        <v>605</v>
      </c>
      <c r="D2774" s="13" t="s">
        <v>697</v>
      </c>
      <c r="E2774" s="13" t="s">
        <v>93</v>
      </c>
      <c r="F2774" s="13" t="s">
        <v>2429</v>
      </c>
      <c r="G2774" s="20" t="str">
        <f>HYPERLINK("http://semena-nn.ru/catalog/55/1119460","Фото")</f>
        <v>Фото</v>
      </c>
      <c r="H2774" s="18">
        <v>50.3</v>
      </c>
      <c r="I2774" s="27"/>
      <c r="J2774" s="13">
        <f>H2774*I2774</f>
        <v>0</v>
      </c>
    </row>
    <row r="2775" spans="1:10" ht="12" customHeight="1">
      <c r="A2775" s="13" t="s">
        <v>4807</v>
      </c>
      <c r="B2775" s="13" t="s">
        <v>4808</v>
      </c>
      <c r="C2775" s="13" t="s">
        <v>605</v>
      </c>
      <c r="D2775" s="13" t="s">
        <v>3475</v>
      </c>
      <c r="E2775" s="13" t="s">
        <v>93</v>
      </c>
      <c r="F2775" s="13" t="s">
        <v>4809</v>
      </c>
      <c r="G2775" s="20" t="str">
        <f>HYPERLINK("https://semena-nn.ru/catalog/55/1125197","Фото")</f>
        <v>Фото</v>
      </c>
      <c r="H2775" s="18">
        <v>29.4</v>
      </c>
      <c r="I2775" s="27"/>
      <c r="J2775" s="13">
        <f>H2775*I2775</f>
        <v>0</v>
      </c>
    </row>
    <row r="2776" spans="1:10" ht="12" customHeight="1">
      <c r="A2776" s="13" t="s">
        <v>4810</v>
      </c>
      <c r="B2776" s="13" t="s">
        <v>4811</v>
      </c>
      <c r="C2776" s="13" t="s">
        <v>605</v>
      </c>
      <c r="D2776" s="13" t="s">
        <v>3475</v>
      </c>
      <c r="E2776" s="13" t="s">
        <v>93</v>
      </c>
      <c r="F2776" s="13" t="s">
        <v>4812</v>
      </c>
      <c r="G2776" s="20" t="str">
        <f>HYPERLINK("http://semena-nn.ru/catalog/55/1289335","Фото")</f>
        <v>Фото</v>
      </c>
      <c r="H2776" s="18">
        <v>25.4</v>
      </c>
      <c r="I2776" s="27"/>
      <c r="J2776" s="13">
        <f>H2776*I2776</f>
        <v>0</v>
      </c>
    </row>
    <row r="2777" spans="1:10" ht="12" customHeight="1">
      <c r="A2777" s="13" t="s">
        <v>2430</v>
      </c>
      <c r="B2777" s="13" t="s">
        <v>2431</v>
      </c>
      <c r="C2777" s="13" t="s">
        <v>605</v>
      </c>
      <c r="D2777" s="13" t="s">
        <v>697</v>
      </c>
      <c r="E2777" s="13" t="s">
        <v>93</v>
      </c>
      <c r="F2777" s="13" t="s">
        <v>2432</v>
      </c>
      <c r="G2777" s="20" t="str">
        <f>HYPERLINK("https://semena-nn.ru/catalog/55/1118926","Фото")</f>
        <v>Фото</v>
      </c>
      <c r="H2777" s="18">
        <v>23.1</v>
      </c>
      <c r="I2777" s="27"/>
      <c r="J2777" s="13">
        <f>H2777*I2777</f>
        <v>0</v>
      </c>
    </row>
    <row r="2778" spans="1:10" ht="12" customHeight="1">
      <c r="A2778" s="13" t="s">
        <v>2433</v>
      </c>
      <c r="B2778" s="13" t="s">
        <v>2434</v>
      </c>
      <c r="C2778" s="13" t="s">
        <v>605</v>
      </c>
      <c r="D2778" s="13" t="s">
        <v>697</v>
      </c>
      <c r="E2778" s="13" t="s">
        <v>93</v>
      </c>
      <c r="F2778" s="13" t="s">
        <v>2435</v>
      </c>
      <c r="G2778" s="20" t="str">
        <f>HYPERLINK("https://semena-nn.ru/catalog/55/999000012626","Фото")</f>
        <v>Фото</v>
      </c>
      <c r="H2778" s="18">
        <v>50.8</v>
      </c>
      <c r="I2778" s="27"/>
      <c r="J2778" s="13">
        <f>H2778*I2778</f>
        <v>0</v>
      </c>
    </row>
    <row r="2779" spans="1:10" ht="12" customHeight="1">
      <c r="A2779" s="13" t="s">
        <v>2436</v>
      </c>
      <c r="B2779" s="13" t="s">
        <v>2437</v>
      </c>
      <c r="C2779" s="13" t="s">
        <v>605</v>
      </c>
      <c r="D2779" s="13" t="s">
        <v>697</v>
      </c>
      <c r="E2779" s="13" t="s">
        <v>93</v>
      </c>
      <c r="F2779" s="13" t="s">
        <v>2438</v>
      </c>
      <c r="G2779" s="20" t="str">
        <f>HYPERLINK("https://semena-nn.ru/catalog/55/113595","Фото")</f>
        <v>Фото</v>
      </c>
      <c r="H2779" s="18">
        <v>36.299999999999997</v>
      </c>
      <c r="I2779" s="27"/>
      <c r="J2779" s="13">
        <f>H2779*I2779</f>
        <v>0</v>
      </c>
    </row>
    <row r="2780" spans="1:10" ht="12" customHeight="1">
      <c r="A2780" s="13" t="s">
        <v>2439</v>
      </c>
      <c r="B2780" s="13" t="s">
        <v>2440</v>
      </c>
      <c r="C2780" s="13" t="s">
        <v>605</v>
      </c>
      <c r="D2780" s="13" t="s">
        <v>697</v>
      </c>
      <c r="E2780" s="13" t="s">
        <v>93</v>
      </c>
      <c r="F2780" s="13" t="s">
        <v>2441</v>
      </c>
      <c r="G2780" s="20" t="str">
        <f>HYPERLINK("https://semena-nn.ru/catalog/55/113167","Фото")</f>
        <v>Фото</v>
      </c>
      <c r="H2780" s="18">
        <v>35.200000000000003</v>
      </c>
      <c r="I2780" s="27"/>
      <c r="J2780" s="13">
        <f>H2780*I2780</f>
        <v>0</v>
      </c>
    </row>
    <row r="2781" spans="1:10" ht="12" customHeight="1">
      <c r="A2781" s="13" t="s">
        <v>6357</v>
      </c>
      <c r="B2781" s="13" t="s">
        <v>6358</v>
      </c>
      <c r="C2781" s="13" t="s">
        <v>605</v>
      </c>
      <c r="D2781" s="13" t="s">
        <v>6295</v>
      </c>
      <c r="E2781" s="13" t="s">
        <v>93</v>
      </c>
      <c r="F2781" s="13" t="s">
        <v>6359</v>
      </c>
      <c r="G2781" s="20" t="str">
        <f>HYPERLINK("https://semena-nn.ru/catalog/55/101836","Фото")</f>
        <v>Фото</v>
      </c>
      <c r="H2781" s="18">
        <v>241.5</v>
      </c>
      <c r="I2781" s="27"/>
      <c r="J2781" s="13">
        <f>H2781*I2781</f>
        <v>0</v>
      </c>
    </row>
    <row r="2782" spans="1:10" ht="12" customHeight="1">
      <c r="A2782" s="13" t="s">
        <v>6004</v>
      </c>
      <c r="B2782" s="13" t="s">
        <v>6005</v>
      </c>
      <c r="C2782" s="13" t="s">
        <v>605</v>
      </c>
      <c r="D2782" s="13" t="s">
        <v>5834</v>
      </c>
      <c r="E2782" s="13" t="s">
        <v>93</v>
      </c>
      <c r="F2782" s="13" t="s">
        <v>6006</v>
      </c>
      <c r="G2782" s="20" t="str">
        <f>HYPERLINK("https://semena-nn.ru/catalog/55/999000001023","Фото")</f>
        <v>Фото</v>
      </c>
      <c r="H2782" s="19">
        <v>36.229999999999997</v>
      </c>
      <c r="I2782" s="27"/>
      <c r="J2782" s="13">
        <f>H2782*I2782</f>
        <v>0</v>
      </c>
    </row>
    <row r="2783" spans="1:10" ht="12" customHeight="1">
      <c r="A2783" s="13" t="s">
        <v>2442</v>
      </c>
      <c r="B2783" s="13" t="s">
        <v>2443</v>
      </c>
      <c r="C2783" s="13" t="s">
        <v>605</v>
      </c>
      <c r="D2783" s="13" t="s">
        <v>697</v>
      </c>
      <c r="E2783" s="13" t="s">
        <v>93</v>
      </c>
      <c r="F2783" s="13" t="s">
        <v>2444</v>
      </c>
      <c r="G2783" s="20" t="str">
        <f>HYPERLINK("https://semena-nn.ru/catalog/55/1308659","Фото")</f>
        <v>Фото</v>
      </c>
      <c r="H2783" s="18">
        <v>45.5</v>
      </c>
      <c r="I2783" s="27"/>
      <c r="J2783" s="13">
        <f>H2783*I2783</f>
        <v>0</v>
      </c>
    </row>
    <row r="2784" spans="1:10" ht="12" customHeight="1">
      <c r="A2784" s="13" t="s">
        <v>2445</v>
      </c>
      <c r="B2784" s="13" t="s">
        <v>2446</v>
      </c>
      <c r="C2784" s="13" t="s">
        <v>605</v>
      </c>
      <c r="D2784" s="13" t="s">
        <v>697</v>
      </c>
      <c r="E2784" s="13" t="s">
        <v>93</v>
      </c>
      <c r="F2784" s="13" t="s">
        <v>2447</v>
      </c>
      <c r="G2784" s="20" t="str">
        <f>HYPERLINK("https://semena-nn.ru/catalog/55/1124617","Фото")</f>
        <v>Фото</v>
      </c>
      <c r="H2784" s="15">
        <v>58</v>
      </c>
      <c r="I2784" s="27"/>
      <c r="J2784" s="13">
        <f>H2784*I2784</f>
        <v>0</v>
      </c>
    </row>
    <row r="2785" spans="1:10" ht="12" customHeight="1">
      <c r="A2785" s="13" t="s">
        <v>2448</v>
      </c>
      <c r="B2785" s="13" t="s">
        <v>2449</v>
      </c>
      <c r="C2785" s="13" t="s">
        <v>605</v>
      </c>
      <c r="D2785" s="13" t="s">
        <v>697</v>
      </c>
      <c r="E2785" s="13" t="s">
        <v>93</v>
      </c>
      <c r="F2785" s="13" t="s">
        <v>2450</v>
      </c>
      <c r="G2785" s="20" t="str">
        <f>HYPERLINK("https://semena-nn.ru/catalog/55/999000013153","Фото")</f>
        <v>Фото</v>
      </c>
      <c r="H2785" s="19">
        <v>34.15</v>
      </c>
      <c r="I2785" s="27"/>
      <c r="J2785" s="13">
        <f>H2785*I2785</f>
        <v>0</v>
      </c>
    </row>
    <row r="2786" spans="1:10" ht="12" customHeight="1">
      <c r="A2786" s="13" t="s">
        <v>2451</v>
      </c>
      <c r="B2786" s="13" t="s">
        <v>2452</v>
      </c>
      <c r="C2786" s="13" t="s">
        <v>605</v>
      </c>
      <c r="D2786" s="13" t="s">
        <v>697</v>
      </c>
      <c r="E2786" s="13" t="s">
        <v>93</v>
      </c>
      <c r="F2786" s="13" t="s">
        <v>2453</v>
      </c>
      <c r="G2786" s="20" t="str">
        <f>HYPERLINK("https://semena-nn.ru/catalog/55/1125715","Фото")</f>
        <v>Фото</v>
      </c>
      <c r="H2786" s="18">
        <v>53.2</v>
      </c>
      <c r="I2786" s="27"/>
      <c r="J2786" s="13">
        <f>H2786*I2786</f>
        <v>0</v>
      </c>
    </row>
    <row r="2787" spans="1:10" ht="12" customHeight="1">
      <c r="A2787" s="13" t="s">
        <v>4813</v>
      </c>
      <c r="B2787" s="13" t="s">
        <v>4814</v>
      </c>
      <c r="C2787" s="13" t="s">
        <v>605</v>
      </c>
      <c r="D2787" s="13" t="s">
        <v>3475</v>
      </c>
      <c r="E2787" s="13" t="s">
        <v>93</v>
      </c>
      <c r="F2787" s="13" t="s">
        <v>4815</v>
      </c>
      <c r="G2787" s="20" t="str">
        <f>HYPERLINK("https://semena-nn.ru/catalog/55/999000006195","Фото")</f>
        <v>Фото</v>
      </c>
      <c r="H2787" s="19">
        <v>38.85</v>
      </c>
      <c r="I2787" s="27"/>
      <c r="J2787" s="13">
        <f>H2787*I2787</f>
        <v>0</v>
      </c>
    </row>
    <row r="2788" spans="1:10" ht="12" customHeight="1">
      <c r="A2788" s="13" t="s">
        <v>4816</v>
      </c>
      <c r="B2788" s="13" t="s">
        <v>4817</v>
      </c>
      <c r="C2788" s="13" t="s">
        <v>605</v>
      </c>
      <c r="D2788" s="13" t="s">
        <v>3475</v>
      </c>
      <c r="E2788" s="13" t="s">
        <v>93</v>
      </c>
      <c r="F2788" s="13" t="s">
        <v>4815</v>
      </c>
      <c r="G2788" s="20" t="str">
        <f>HYPERLINK("https://semena-nn.ru/catalog/55/999000008442","Фото")</f>
        <v>Фото</v>
      </c>
      <c r="H2788" s="19">
        <v>38.85</v>
      </c>
      <c r="I2788" s="27"/>
      <c r="J2788" s="13">
        <f>H2788*I2788</f>
        <v>0</v>
      </c>
    </row>
    <row r="2789" spans="1:10" ht="12" customHeight="1">
      <c r="A2789" s="13" t="s">
        <v>4818</v>
      </c>
      <c r="B2789" s="13" t="s">
        <v>4819</v>
      </c>
      <c r="C2789" s="13" t="s">
        <v>605</v>
      </c>
      <c r="D2789" s="13" t="s">
        <v>3475</v>
      </c>
      <c r="E2789" s="13" t="s">
        <v>93</v>
      </c>
      <c r="F2789" s="13" t="s">
        <v>4815</v>
      </c>
      <c r="G2789" s="20" t="str">
        <f>HYPERLINK("https://semena-nn.ru/catalog/55/999000008389","Фото")</f>
        <v>Фото</v>
      </c>
      <c r="H2789" s="19">
        <v>38.85</v>
      </c>
      <c r="I2789" s="27"/>
      <c r="J2789" s="13">
        <f>H2789*I2789</f>
        <v>0</v>
      </c>
    </row>
    <row r="2790" spans="1:10" ht="12" customHeight="1">
      <c r="A2790" s="13" t="s">
        <v>4820</v>
      </c>
      <c r="B2790" s="13" t="s">
        <v>4821</v>
      </c>
      <c r="C2790" s="13" t="s">
        <v>605</v>
      </c>
      <c r="D2790" s="13" t="s">
        <v>3475</v>
      </c>
      <c r="E2790" s="13" t="s">
        <v>93</v>
      </c>
      <c r="F2790" s="13" t="s">
        <v>4815</v>
      </c>
      <c r="G2790" s="20" t="str">
        <f>HYPERLINK("https://semena-nn.ru/catalog/55/999000008001","Фото")</f>
        <v>Фото</v>
      </c>
      <c r="H2790" s="19">
        <v>38.85</v>
      </c>
      <c r="I2790" s="27"/>
      <c r="J2790" s="13">
        <f>H2790*I2790</f>
        <v>0</v>
      </c>
    </row>
    <row r="2791" spans="1:10" ht="12" customHeight="1">
      <c r="A2791" s="13" t="s">
        <v>2454</v>
      </c>
      <c r="B2791" s="13" t="s">
        <v>2455</v>
      </c>
      <c r="C2791" s="13" t="s">
        <v>605</v>
      </c>
      <c r="D2791" s="13" t="s">
        <v>697</v>
      </c>
      <c r="E2791" s="13" t="s">
        <v>93</v>
      </c>
      <c r="F2791" s="13" t="s">
        <v>2456</v>
      </c>
      <c r="G2791" s="20" t="str">
        <f>HYPERLINK("https://semena-nn.ru/catalog/55/999000006315","Фото")</f>
        <v>Фото</v>
      </c>
      <c r="H2791" s="18">
        <v>31.2</v>
      </c>
      <c r="I2791" s="27"/>
      <c r="J2791" s="13">
        <f>H2791*I2791</f>
        <v>0</v>
      </c>
    </row>
    <row r="2792" spans="1:10" ht="12" customHeight="1">
      <c r="A2792" s="13" t="s">
        <v>2457</v>
      </c>
      <c r="B2792" s="13" t="s">
        <v>2458</v>
      </c>
      <c r="C2792" s="13" t="s">
        <v>605</v>
      </c>
      <c r="D2792" s="13" t="s">
        <v>697</v>
      </c>
      <c r="E2792" s="13" t="s">
        <v>93</v>
      </c>
      <c r="F2792" s="13" t="s">
        <v>2459</v>
      </c>
      <c r="G2792" s="20" t="str">
        <f>HYPERLINK("https://semena-nn.ru/catalog/55/1124813","Фото")</f>
        <v>Фото</v>
      </c>
      <c r="H2792" s="15">
        <v>51</v>
      </c>
      <c r="I2792" s="27"/>
      <c r="J2792" s="13">
        <f>H2792*I2792</f>
        <v>0</v>
      </c>
    </row>
    <row r="2793" spans="1:10" ht="12" customHeight="1">
      <c r="A2793" s="13" t="s">
        <v>2460</v>
      </c>
      <c r="B2793" s="13" t="s">
        <v>2461</v>
      </c>
      <c r="C2793" s="13" t="s">
        <v>605</v>
      </c>
      <c r="D2793" s="13" t="s">
        <v>697</v>
      </c>
      <c r="E2793" s="13" t="s">
        <v>93</v>
      </c>
      <c r="F2793" s="13" t="s">
        <v>2462</v>
      </c>
      <c r="G2793" s="20" t="str">
        <f>HYPERLINK("https://semena-nn.ru/catalog/55/1285295","Фото")</f>
        <v>Фото</v>
      </c>
      <c r="H2793" s="19">
        <v>35.15</v>
      </c>
      <c r="I2793" s="27"/>
      <c r="J2793" s="13">
        <f>H2793*I2793</f>
        <v>0</v>
      </c>
    </row>
    <row r="2794" spans="1:10" ht="12" customHeight="1">
      <c r="A2794" s="13" t="s">
        <v>2463</v>
      </c>
      <c r="B2794" s="13" t="s">
        <v>2464</v>
      </c>
      <c r="C2794" s="13" t="s">
        <v>605</v>
      </c>
      <c r="D2794" s="13" t="s">
        <v>697</v>
      </c>
      <c r="E2794" s="13" t="s">
        <v>93</v>
      </c>
      <c r="F2794" s="13" t="s">
        <v>2465</v>
      </c>
      <c r="G2794" s="20" t="str">
        <f>HYPERLINK("https://semena-nn.ru/catalog/55/1282805","Фото")</f>
        <v>Фото</v>
      </c>
      <c r="H2794" s="18">
        <v>31.7</v>
      </c>
      <c r="I2794" s="27"/>
      <c r="J2794" s="13">
        <f>H2794*I2794</f>
        <v>0</v>
      </c>
    </row>
    <row r="2795" spans="1:10" ht="12" customHeight="1">
      <c r="A2795" s="13" t="s">
        <v>4822</v>
      </c>
      <c r="B2795" s="13" t="s">
        <v>4823</v>
      </c>
      <c r="C2795" s="13" t="s">
        <v>605</v>
      </c>
      <c r="D2795" s="13" t="s">
        <v>3475</v>
      </c>
      <c r="E2795" s="13" t="s">
        <v>93</v>
      </c>
      <c r="F2795" s="13" t="s">
        <v>4824</v>
      </c>
      <c r="G2795" s="20" t="str">
        <f>HYPERLINK("https://semena-nn.ru/catalog/55/1309988","Фото")</f>
        <v>Фото</v>
      </c>
      <c r="H2795" s="15">
        <v>34</v>
      </c>
      <c r="I2795" s="27"/>
      <c r="J2795" s="13">
        <f>H2795*I2795</f>
        <v>0</v>
      </c>
    </row>
    <row r="2796" spans="1:10" ht="12" customHeight="1">
      <c r="A2796" s="13" t="s">
        <v>4825</v>
      </c>
      <c r="B2796" s="13" t="s">
        <v>4826</v>
      </c>
      <c r="C2796" s="13" t="s">
        <v>605</v>
      </c>
      <c r="D2796" s="13" t="s">
        <v>3475</v>
      </c>
      <c r="E2796" s="13" t="s">
        <v>93</v>
      </c>
      <c r="F2796" s="13" t="s">
        <v>4827</v>
      </c>
      <c r="G2796" s="20" t="str">
        <f>HYPERLINK("https://semena-nn.ru/catalog/55/1311877","Фото")</f>
        <v>Фото</v>
      </c>
      <c r="H2796" s="19">
        <v>31.51</v>
      </c>
      <c r="I2796" s="27"/>
      <c r="J2796" s="13">
        <f>H2796*I2796</f>
        <v>0</v>
      </c>
    </row>
    <row r="2797" spans="1:10" ht="12" customHeight="1">
      <c r="A2797" s="13" t="s">
        <v>4828</v>
      </c>
      <c r="B2797" s="13" t="s">
        <v>4829</v>
      </c>
      <c r="C2797" s="13" t="s">
        <v>605</v>
      </c>
      <c r="D2797" s="13" t="s">
        <v>3475</v>
      </c>
      <c r="E2797" s="13" t="s">
        <v>93</v>
      </c>
      <c r="F2797" s="13" t="s">
        <v>4830</v>
      </c>
      <c r="G2797" s="20" t="str">
        <f>HYPERLINK("https://semena-nn.ru/catalog/55/1299155","Фото")</f>
        <v>Фото</v>
      </c>
      <c r="H2797" s="18">
        <v>18.7</v>
      </c>
      <c r="I2797" s="27"/>
      <c r="J2797" s="13">
        <f>H2797*I2797</f>
        <v>0</v>
      </c>
    </row>
    <row r="2798" spans="1:10" ht="12" customHeight="1">
      <c r="A2798" s="13" t="s">
        <v>4831</v>
      </c>
      <c r="B2798" s="13" t="s">
        <v>4832</v>
      </c>
      <c r="C2798" s="13" t="s">
        <v>605</v>
      </c>
      <c r="D2798" s="13" t="s">
        <v>3475</v>
      </c>
      <c r="E2798" s="13" t="s">
        <v>93</v>
      </c>
      <c r="F2798" s="13" t="s">
        <v>4833</v>
      </c>
      <c r="G2798" s="20" t="str">
        <f>HYPERLINK("https://semena-nn.ru/catalog/55/999000007940","Фото")</f>
        <v>Фото</v>
      </c>
      <c r="H2798" s="18">
        <v>18.7</v>
      </c>
      <c r="I2798" s="27"/>
      <c r="J2798" s="13">
        <f>H2798*I2798</f>
        <v>0</v>
      </c>
    </row>
    <row r="2799" spans="1:10" ht="12" customHeight="1">
      <c r="A2799" s="13" t="s">
        <v>666</v>
      </c>
      <c r="B2799" s="13" t="s">
        <v>667</v>
      </c>
      <c r="C2799" s="13" t="s">
        <v>605</v>
      </c>
      <c r="D2799" s="13" t="s">
        <v>28</v>
      </c>
      <c r="E2799" s="13" t="s">
        <v>93</v>
      </c>
      <c r="F2799" s="13" t="s">
        <v>668</v>
      </c>
      <c r="G2799" s="20" t="str">
        <f>HYPERLINK("https://semena-nn.ru/catalog/55/999000009777","Фото")</f>
        <v>Фото</v>
      </c>
      <c r="H2799" s="18">
        <v>60.9</v>
      </c>
      <c r="I2799" s="27"/>
      <c r="J2799" s="13">
        <f>H2799*I2799</f>
        <v>0</v>
      </c>
    </row>
    <row r="2800" spans="1:10" ht="12" customHeight="1">
      <c r="A2800" s="13" t="s">
        <v>2466</v>
      </c>
      <c r="B2800" s="13" t="s">
        <v>2467</v>
      </c>
      <c r="C2800" s="13" t="s">
        <v>605</v>
      </c>
      <c r="D2800" s="13" t="s">
        <v>697</v>
      </c>
      <c r="E2800" s="13" t="s">
        <v>93</v>
      </c>
      <c r="F2800" s="13" t="s">
        <v>2468</v>
      </c>
      <c r="G2800" s="20" t="str">
        <f>HYPERLINK("https://semena-nn.ru/catalog/55/112491","Фото")</f>
        <v>Фото</v>
      </c>
      <c r="H2800" s="18">
        <v>52.2</v>
      </c>
      <c r="I2800" s="27"/>
      <c r="J2800" s="13">
        <f>H2800*I2800</f>
        <v>0</v>
      </c>
    </row>
    <row r="2801" spans="1:10" ht="12" customHeight="1">
      <c r="A2801" s="13" t="s">
        <v>6360</v>
      </c>
      <c r="B2801" s="13" t="s">
        <v>6361</v>
      </c>
      <c r="C2801" s="13" t="s">
        <v>605</v>
      </c>
      <c r="D2801" s="13" t="s">
        <v>6295</v>
      </c>
      <c r="E2801" s="13" t="s">
        <v>93</v>
      </c>
      <c r="F2801" s="13" t="s">
        <v>6362</v>
      </c>
      <c r="G2801" s="20" t="str">
        <f>HYPERLINK("https://semena-nn.ru/catalog/55/888000000265","Фото")</f>
        <v>Фото</v>
      </c>
      <c r="H2801" s="15">
        <v>273</v>
      </c>
      <c r="I2801" s="27"/>
      <c r="J2801" s="13">
        <f>H2801*I2801</f>
        <v>0</v>
      </c>
    </row>
    <row r="2802" spans="1:10" ht="12" customHeight="1">
      <c r="A2802" s="13" t="s">
        <v>2469</v>
      </c>
      <c r="B2802" s="13" t="s">
        <v>2470</v>
      </c>
      <c r="C2802" s="13" t="s">
        <v>605</v>
      </c>
      <c r="D2802" s="13" t="s">
        <v>697</v>
      </c>
      <c r="E2802" s="13" t="s">
        <v>93</v>
      </c>
      <c r="F2802" s="13" t="s">
        <v>2471</v>
      </c>
      <c r="G2802" s="20" t="str">
        <f>HYPERLINK("https://semena-nn.ru/catalog/55/888000007537","Фото")</f>
        <v>Фото</v>
      </c>
      <c r="H2802" s="18">
        <v>46.1</v>
      </c>
      <c r="I2802" s="27"/>
      <c r="J2802" s="13">
        <f>H2802*I2802</f>
        <v>0</v>
      </c>
    </row>
    <row r="2803" spans="1:10" ht="12" customHeight="1">
      <c r="A2803" s="13" t="s">
        <v>4834</v>
      </c>
      <c r="B2803" s="13" t="s">
        <v>4835</v>
      </c>
      <c r="C2803" s="13" t="s">
        <v>605</v>
      </c>
      <c r="D2803" s="13" t="s">
        <v>3475</v>
      </c>
      <c r="E2803" s="13" t="s">
        <v>93</v>
      </c>
      <c r="F2803" s="13" t="s">
        <v>4836</v>
      </c>
      <c r="G2803" s="20" t="str">
        <f>HYPERLINK("https://semena-nn.ru/catalog/55/888000001627","Фото")</f>
        <v>Фото</v>
      </c>
      <c r="H2803" s="15">
        <v>54</v>
      </c>
      <c r="I2803" s="27"/>
      <c r="J2803" s="13">
        <f>H2803*I2803</f>
        <v>0</v>
      </c>
    </row>
    <row r="2804" spans="1:10" ht="12" customHeight="1">
      <c r="A2804" s="13" t="s">
        <v>2472</v>
      </c>
      <c r="B2804" s="13" t="s">
        <v>2473</v>
      </c>
      <c r="C2804" s="13" t="s">
        <v>605</v>
      </c>
      <c r="D2804" s="13" t="s">
        <v>697</v>
      </c>
      <c r="E2804" s="13" t="s">
        <v>93</v>
      </c>
      <c r="F2804" s="13" t="s">
        <v>2474</v>
      </c>
      <c r="G2804" s="20" t="str">
        <f>HYPERLINK("http://semena-nn.ru/catalog/55/1124618","Фото")</f>
        <v>Фото</v>
      </c>
      <c r="H2804" s="19">
        <v>49.35</v>
      </c>
      <c r="I2804" s="27"/>
      <c r="J2804" s="13">
        <f>H2804*I2804</f>
        <v>0</v>
      </c>
    </row>
    <row r="2805" spans="1:10" ht="12" customHeight="1">
      <c r="A2805" s="13" t="s">
        <v>2475</v>
      </c>
      <c r="B2805" s="13" t="s">
        <v>2476</v>
      </c>
      <c r="C2805" s="13" t="s">
        <v>605</v>
      </c>
      <c r="D2805" s="13" t="s">
        <v>697</v>
      </c>
      <c r="E2805" s="13" t="s">
        <v>93</v>
      </c>
      <c r="F2805" s="13" t="s">
        <v>2477</v>
      </c>
      <c r="G2805" s="20" t="str">
        <f>HYPERLINK("http://semena-nn.ru/catalog/55/1124619","Фото")</f>
        <v>Фото</v>
      </c>
      <c r="H2805" s="18">
        <v>55.4</v>
      </c>
      <c r="I2805" s="27"/>
      <c r="J2805" s="13">
        <f>H2805*I2805</f>
        <v>0</v>
      </c>
    </row>
    <row r="2806" spans="1:10" ht="12" customHeight="1">
      <c r="A2806" s="13" t="s">
        <v>6007</v>
      </c>
      <c r="B2806" s="13" t="s">
        <v>6008</v>
      </c>
      <c r="C2806" s="13" t="s">
        <v>605</v>
      </c>
      <c r="D2806" s="13" t="s">
        <v>5834</v>
      </c>
      <c r="E2806" s="13" t="s">
        <v>93</v>
      </c>
      <c r="F2806" s="13" t="s">
        <v>6009</v>
      </c>
      <c r="G2806" s="20" t="str">
        <f>HYPERLINK("https://semena-nn.ru/catalog/55/999000001024","Фото")</f>
        <v>Фото</v>
      </c>
      <c r="H2806" s="19">
        <v>53.45</v>
      </c>
      <c r="I2806" s="27"/>
      <c r="J2806" s="13">
        <f>H2806*I2806</f>
        <v>0</v>
      </c>
    </row>
    <row r="2807" spans="1:10" ht="12" customHeight="1">
      <c r="A2807" s="13" t="s">
        <v>6010</v>
      </c>
      <c r="B2807" s="13" t="s">
        <v>6011</v>
      </c>
      <c r="C2807" s="13" t="s">
        <v>605</v>
      </c>
      <c r="D2807" s="13" t="s">
        <v>5834</v>
      </c>
      <c r="E2807" s="13" t="s">
        <v>93</v>
      </c>
      <c r="F2807" s="13" t="s">
        <v>6012</v>
      </c>
      <c r="G2807" s="20" t="str">
        <f>HYPERLINK("https://semena-nn.ru/catalog/55/888000001606","Фото")</f>
        <v>Фото</v>
      </c>
      <c r="H2807" s="19">
        <v>53.45</v>
      </c>
      <c r="I2807" s="27"/>
      <c r="J2807" s="13">
        <f>H2807*I2807</f>
        <v>0</v>
      </c>
    </row>
    <row r="2808" spans="1:10" ht="12" customHeight="1">
      <c r="A2808" s="13" t="s">
        <v>6363</v>
      </c>
      <c r="B2808" s="13" t="s">
        <v>6364</v>
      </c>
      <c r="C2808" s="13" t="s">
        <v>605</v>
      </c>
      <c r="D2808" s="13" t="s">
        <v>6295</v>
      </c>
      <c r="E2808" s="13" t="s">
        <v>93</v>
      </c>
      <c r="F2808" s="13" t="s">
        <v>6365</v>
      </c>
      <c r="G2808" s="20" t="str">
        <f>HYPERLINK("https://semena-nn.ru/catalog/55/999000008241","Фото")</f>
        <v>Фото</v>
      </c>
      <c r="H2808" s="19">
        <v>141.75</v>
      </c>
      <c r="I2808" s="27"/>
      <c r="J2808" s="13">
        <f>H2808*I2808</f>
        <v>0</v>
      </c>
    </row>
    <row r="2809" spans="1:10" ht="12" customHeight="1">
      <c r="A2809" s="13" t="s">
        <v>2478</v>
      </c>
      <c r="B2809" s="13" t="s">
        <v>2479</v>
      </c>
      <c r="C2809" s="13" t="s">
        <v>605</v>
      </c>
      <c r="D2809" s="13" t="s">
        <v>697</v>
      </c>
      <c r="E2809" s="13" t="s">
        <v>93</v>
      </c>
      <c r="F2809" s="13" t="s">
        <v>2480</v>
      </c>
      <c r="G2809" s="20" t="str">
        <f>HYPERLINK("https://semena-nn.ru/catalog/55/999000012870","Фото")</f>
        <v>Фото</v>
      </c>
      <c r="H2809" s="18">
        <v>28.6</v>
      </c>
      <c r="I2809" s="27"/>
      <c r="J2809" s="13">
        <f>H2809*I2809</f>
        <v>0</v>
      </c>
    </row>
    <row r="2810" spans="1:10" ht="12" customHeight="1">
      <c r="A2810" s="13" t="s">
        <v>6797</v>
      </c>
      <c r="B2810" s="13" t="s">
        <v>6798</v>
      </c>
      <c r="C2810" s="13" t="s">
        <v>671</v>
      </c>
      <c r="D2810" s="13" t="s">
        <v>87</v>
      </c>
      <c r="E2810" s="13" t="s">
        <v>93</v>
      </c>
      <c r="F2810" s="13" t="s">
        <v>6799</v>
      </c>
      <c r="G2810" s="20" t="str">
        <f>HYPERLINK("https://semena-nn.ru/catalog/56/106624","Фото")</f>
        <v>Фото</v>
      </c>
      <c r="H2810" s="18">
        <v>25.2</v>
      </c>
      <c r="I2810" s="27"/>
      <c r="J2810" s="13">
        <f>H2810*I2810</f>
        <v>0</v>
      </c>
    </row>
    <row r="2811" spans="1:10" ht="12" customHeight="1">
      <c r="A2811" s="13" t="s">
        <v>4837</v>
      </c>
      <c r="B2811" s="13" t="s">
        <v>4838</v>
      </c>
      <c r="C2811" s="13" t="s">
        <v>671</v>
      </c>
      <c r="D2811" s="13" t="s">
        <v>3475</v>
      </c>
      <c r="E2811" s="13" t="s">
        <v>93</v>
      </c>
      <c r="F2811" s="13" t="s">
        <v>4839</v>
      </c>
      <c r="G2811" s="20" t="str">
        <f>HYPERLINK("http://semena-nn.ru/catalog/56/1123854","Фото")</f>
        <v>Фото</v>
      </c>
      <c r="H2811" s="18">
        <v>18.7</v>
      </c>
      <c r="I2811" s="27"/>
      <c r="J2811" s="13">
        <f>H2811*I2811</f>
        <v>0</v>
      </c>
    </row>
    <row r="2812" spans="1:10" ht="12" customHeight="1">
      <c r="A2812" s="13" t="s">
        <v>2481</v>
      </c>
      <c r="B2812" s="13" t="s">
        <v>2482</v>
      </c>
      <c r="C2812" s="13" t="s">
        <v>671</v>
      </c>
      <c r="D2812" s="13" t="s">
        <v>697</v>
      </c>
      <c r="E2812" s="13" t="s">
        <v>93</v>
      </c>
      <c r="F2812" s="13" t="s">
        <v>2483</v>
      </c>
      <c r="G2812" s="20" t="str">
        <f>HYPERLINK("https://semena-nn.ru/catalog/56/999000008073","Фото")</f>
        <v>Фото</v>
      </c>
      <c r="H2812" s="19">
        <v>58.45</v>
      </c>
      <c r="I2812" s="27"/>
      <c r="J2812" s="13">
        <f>H2812*I2812</f>
        <v>0</v>
      </c>
    </row>
    <row r="2813" spans="1:10" ht="12" customHeight="1">
      <c r="A2813" s="13" t="s">
        <v>5773</v>
      </c>
      <c r="B2813" s="13" t="s">
        <v>5774</v>
      </c>
      <c r="C2813" s="13" t="s">
        <v>624</v>
      </c>
      <c r="D2813" s="13" t="s">
        <v>5136</v>
      </c>
      <c r="E2813" s="13" t="s">
        <v>93</v>
      </c>
      <c r="F2813" s="13" t="s">
        <v>5775</v>
      </c>
      <c r="G2813" s="20" t="str">
        <f>HYPERLINK("https://semena-nn.ru/catalog/57/888000007458","Фото")</f>
        <v>Фото</v>
      </c>
      <c r="H2813" s="15">
        <v>56</v>
      </c>
      <c r="I2813" s="27"/>
      <c r="J2813" s="13">
        <f>H2813*I2813</f>
        <v>0</v>
      </c>
    </row>
    <row r="2814" spans="1:10" ht="12" customHeight="1">
      <c r="A2814" s="13" t="s">
        <v>5776</v>
      </c>
      <c r="B2814" s="13" t="s">
        <v>5777</v>
      </c>
      <c r="C2814" s="13" t="s">
        <v>624</v>
      </c>
      <c r="D2814" s="13" t="s">
        <v>5136</v>
      </c>
      <c r="E2814" s="13" t="s">
        <v>93</v>
      </c>
      <c r="F2814" s="13" t="s">
        <v>5778</v>
      </c>
      <c r="G2814" s="20" t="str">
        <f>HYPERLINK("https://semena-nn.ru/catalog/57/999000013272","Фото")</f>
        <v>Фото</v>
      </c>
      <c r="H2814" s="15">
        <v>197</v>
      </c>
      <c r="I2814" s="27"/>
      <c r="J2814" s="13">
        <f>H2814*I2814</f>
        <v>0</v>
      </c>
    </row>
    <row r="2815" spans="1:10" ht="12" customHeight="1">
      <c r="A2815" s="13" t="s">
        <v>5779</v>
      </c>
      <c r="B2815" s="13" t="s">
        <v>5780</v>
      </c>
      <c r="C2815" s="13" t="s">
        <v>624</v>
      </c>
      <c r="D2815" s="13" t="s">
        <v>5136</v>
      </c>
      <c r="E2815" s="13" t="s">
        <v>93</v>
      </c>
      <c r="F2815" s="13" t="s">
        <v>5778</v>
      </c>
      <c r="G2815" s="20" t="str">
        <f>HYPERLINK("https://semena-nn.ru/catalog/57/999000013273","Фото")</f>
        <v>Фото</v>
      </c>
      <c r="H2815" s="15">
        <v>197</v>
      </c>
      <c r="I2815" s="27"/>
      <c r="J2815" s="13">
        <f>H2815*I2815</f>
        <v>0</v>
      </c>
    </row>
    <row r="2816" spans="1:10" ht="12" customHeight="1">
      <c r="A2816" s="13" t="s">
        <v>2484</v>
      </c>
      <c r="B2816" s="13" t="s">
        <v>2485</v>
      </c>
      <c r="C2816" s="13" t="s">
        <v>605</v>
      </c>
      <c r="D2816" s="13" t="s">
        <v>697</v>
      </c>
      <c r="E2816" s="13" t="s">
        <v>93</v>
      </c>
      <c r="F2816" s="13" t="s">
        <v>2486</v>
      </c>
      <c r="G2816" s="20" t="str">
        <f>HYPERLINK("https://semena-nn.ru/catalog/55/888000007605","Фото")</f>
        <v>Фото</v>
      </c>
      <c r="H2816" s="18">
        <v>18.7</v>
      </c>
      <c r="I2816" s="27"/>
      <c r="J2816" s="13">
        <f>H2816*I2816</f>
        <v>0</v>
      </c>
    </row>
    <row r="2817" spans="1:10" ht="12" customHeight="1">
      <c r="A2817" s="13" t="s">
        <v>4840</v>
      </c>
      <c r="B2817" s="13" t="s">
        <v>4841</v>
      </c>
      <c r="C2817" s="13" t="s">
        <v>605</v>
      </c>
      <c r="D2817" s="13" t="s">
        <v>3475</v>
      </c>
      <c r="E2817" s="13" t="s">
        <v>93</v>
      </c>
      <c r="F2817" s="13" t="s">
        <v>4842</v>
      </c>
      <c r="G2817" s="20" t="str">
        <f>HYPERLINK("https://semena-nn.ru/catalog/55/1123196","Фото")</f>
        <v>Фото</v>
      </c>
      <c r="H2817" s="18">
        <v>18.7</v>
      </c>
      <c r="I2817" s="27"/>
      <c r="J2817" s="13">
        <f>H2817*I2817</f>
        <v>0</v>
      </c>
    </row>
    <row r="2818" spans="1:10" ht="12" customHeight="1">
      <c r="A2818" s="13" t="s">
        <v>2487</v>
      </c>
      <c r="B2818" s="13" t="s">
        <v>2488</v>
      </c>
      <c r="C2818" s="13" t="s">
        <v>605</v>
      </c>
      <c r="D2818" s="13" t="s">
        <v>697</v>
      </c>
      <c r="E2818" s="13" t="s">
        <v>93</v>
      </c>
      <c r="F2818" s="13" t="s">
        <v>2489</v>
      </c>
      <c r="G2818" s="20" t="str">
        <f>HYPERLINK("https://semena-nn.ru/catalog/55/888000007606","Фото")</f>
        <v>Фото</v>
      </c>
      <c r="H2818" s="18">
        <v>21.9</v>
      </c>
      <c r="I2818" s="27"/>
      <c r="J2818" s="13">
        <f>H2818*I2818</f>
        <v>0</v>
      </c>
    </row>
    <row r="2819" spans="1:10" ht="12" customHeight="1">
      <c r="A2819" s="13" t="s">
        <v>3449</v>
      </c>
      <c r="B2819" s="13" t="s">
        <v>3450</v>
      </c>
      <c r="C2819" s="13" t="s">
        <v>605</v>
      </c>
      <c r="D2819" s="13" t="s">
        <v>697</v>
      </c>
      <c r="E2819" s="13" t="s">
        <v>3064</v>
      </c>
      <c r="F2819" s="13" t="s">
        <v>3451</v>
      </c>
      <c r="G2819" s="20" t="str">
        <f>HYPERLINK("https://semena-nn.ru/catalog/55/999000010481","Фото")</f>
        <v>Фото</v>
      </c>
      <c r="H2819" s="18">
        <v>12.9</v>
      </c>
      <c r="I2819" s="27"/>
      <c r="J2819" s="13">
        <f>H2819*I2819</f>
        <v>0</v>
      </c>
    </row>
    <row r="2820" spans="1:10" ht="12" customHeight="1">
      <c r="A2820" s="13" t="s">
        <v>2490</v>
      </c>
      <c r="B2820" s="13" t="s">
        <v>2491</v>
      </c>
      <c r="C2820" s="13" t="s">
        <v>605</v>
      </c>
      <c r="D2820" s="13" t="s">
        <v>697</v>
      </c>
      <c r="E2820" s="13" t="s">
        <v>93</v>
      </c>
      <c r="F2820" s="13" t="s">
        <v>2492</v>
      </c>
      <c r="G2820" s="20" t="str">
        <f>HYPERLINK("https://semena-nn.ru/catalog/55/102592","Фото")</f>
        <v>Фото</v>
      </c>
      <c r="H2820" s="18">
        <v>22.4</v>
      </c>
      <c r="I2820" s="27"/>
      <c r="J2820" s="13">
        <f>H2820*I2820</f>
        <v>0</v>
      </c>
    </row>
    <row r="2821" spans="1:10" ht="12" customHeight="1">
      <c r="A2821" s="13" t="s">
        <v>7140</v>
      </c>
      <c r="B2821" s="13" t="s">
        <v>7141</v>
      </c>
      <c r="C2821" s="13" t="s">
        <v>671</v>
      </c>
      <c r="D2821" s="13" t="s">
        <v>6927</v>
      </c>
      <c r="E2821" s="13" t="s">
        <v>93</v>
      </c>
      <c r="F2821" s="13" t="s">
        <v>7142</v>
      </c>
      <c r="G2821" s="20" t="str">
        <f>HYPERLINK("https://semena-nn.ru/catalog/56/1313646","Фото")</f>
        <v>Фото</v>
      </c>
      <c r="H2821" s="18">
        <v>90.5</v>
      </c>
      <c r="I2821" s="27"/>
      <c r="J2821" s="13">
        <f>H2821*I2821</f>
        <v>0</v>
      </c>
    </row>
    <row r="2822" spans="1:10" ht="12" customHeight="1">
      <c r="A2822" s="13" t="s">
        <v>6366</v>
      </c>
      <c r="B2822" s="13" t="s">
        <v>6367</v>
      </c>
      <c r="C2822" s="13" t="s">
        <v>605</v>
      </c>
      <c r="D2822" s="13" t="s">
        <v>6295</v>
      </c>
      <c r="E2822" s="13" t="s">
        <v>93</v>
      </c>
      <c r="F2822" s="13" t="s">
        <v>6368</v>
      </c>
      <c r="G2822" s="20" t="str">
        <f>HYPERLINK("https://semena-nn.ru/catalog/55/999000011646","Фото")</f>
        <v>Фото</v>
      </c>
      <c r="H2822" s="18">
        <v>199.5</v>
      </c>
      <c r="I2822" s="27"/>
      <c r="J2822" s="13">
        <f>H2822*I2822</f>
        <v>0</v>
      </c>
    </row>
    <row r="2823" spans="1:10" ht="12" customHeight="1">
      <c r="A2823" s="13" t="s">
        <v>2493</v>
      </c>
      <c r="B2823" s="13" t="s">
        <v>2494</v>
      </c>
      <c r="C2823" s="13" t="s">
        <v>671</v>
      </c>
      <c r="D2823" s="13" t="s">
        <v>697</v>
      </c>
      <c r="E2823" s="13" t="s">
        <v>93</v>
      </c>
      <c r="F2823" s="13" t="s">
        <v>2495</v>
      </c>
      <c r="G2823" s="20" t="str">
        <f>HYPERLINK("https://semena-nn.ru/catalog/56/888000000896","Фото")</f>
        <v>Фото</v>
      </c>
      <c r="H2823" s="19">
        <v>50.55</v>
      </c>
      <c r="I2823" s="27"/>
      <c r="J2823" s="13">
        <f>H2823*I2823</f>
        <v>0</v>
      </c>
    </row>
    <row r="2824" spans="1:10" ht="12" customHeight="1">
      <c r="A2824" s="13" t="s">
        <v>6369</v>
      </c>
      <c r="B2824" s="13" t="s">
        <v>6370</v>
      </c>
      <c r="C2824" s="13" t="s">
        <v>605</v>
      </c>
      <c r="D2824" s="13" t="s">
        <v>6295</v>
      </c>
      <c r="E2824" s="13" t="s">
        <v>93</v>
      </c>
      <c r="F2824" s="13" t="s">
        <v>6371</v>
      </c>
      <c r="G2824" s="20" t="str">
        <f>HYPERLINK("https://semena-nn.ru/catalog/55/999000009461","Фото")</f>
        <v>Фото</v>
      </c>
      <c r="H2824" s="18">
        <v>199.5</v>
      </c>
      <c r="I2824" s="27"/>
      <c r="J2824" s="13">
        <f>H2824*I2824</f>
        <v>0</v>
      </c>
    </row>
    <row r="2825" spans="1:10" ht="12" customHeight="1">
      <c r="A2825" s="13" t="s">
        <v>6800</v>
      </c>
      <c r="B2825" s="13" t="s">
        <v>6801</v>
      </c>
      <c r="C2825" s="13" t="s">
        <v>671</v>
      </c>
      <c r="D2825" s="13" t="s">
        <v>87</v>
      </c>
      <c r="E2825" s="13" t="s">
        <v>93</v>
      </c>
      <c r="F2825" s="13" t="s">
        <v>6802</v>
      </c>
      <c r="G2825" s="20" t="str">
        <f>HYPERLINK("https://semena-nn.ru/catalog/56/999000013041","Фото")</f>
        <v>Фото</v>
      </c>
      <c r="H2825" s="19">
        <v>66.150000000000006</v>
      </c>
      <c r="I2825" s="27"/>
      <c r="J2825" s="13">
        <f>H2825*I2825</f>
        <v>0</v>
      </c>
    </row>
    <row r="2826" spans="1:10" ht="12" customHeight="1">
      <c r="A2826" s="13" t="s">
        <v>6803</v>
      </c>
      <c r="B2826" s="13" t="s">
        <v>6804</v>
      </c>
      <c r="C2826" s="13" t="s">
        <v>671</v>
      </c>
      <c r="D2826" s="13" t="s">
        <v>87</v>
      </c>
      <c r="E2826" s="13" t="s">
        <v>93</v>
      </c>
      <c r="F2826" s="13" t="s">
        <v>6805</v>
      </c>
      <c r="G2826" s="20" t="str">
        <f>HYPERLINK("https://semena-nn.ru/catalog/56/999000013042","Фото")</f>
        <v>Фото</v>
      </c>
      <c r="H2826" s="19">
        <v>66.150000000000006</v>
      </c>
      <c r="I2826" s="27"/>
      <c r="J2826" s="13">
        <f>H2826*I2826</f>
        <v>0</v>
      </c>
    </row>
    <row r="2827" spans="1:10" ht="12" customHeight="1">
      <c r="A2827" s="13" t="s">
        <v>6806</v>
      </c>
      <c r="B2827" s="13" t="s">
        <v>6807</v>
      </c>
      <c r="C2827" s="13" t="s">
        <v>671</v>
      </c>
      <c r="D2827" s="13" t="s">
        <v>87</v>
      </c>
      <c r="E2827" s="13" t="s">
        <v>93</v>
      </c>
      <c r="F2827" s="13" t="s">
        <v>6808</v>
      </c>
      <c r="G2827" s="20" t="str">
        <f>HYPERLINK("https://semena-nn.ru/catalog/56/97089","Фото")</f>
        <v>Фото</v>
      </c>
      <c r="H2827" s="15">
        <v>21</v>
      </c>
      <c r="I2827" s="27"/>
      <c r="J2827" s="13">
        <f>H2827*I2827</f>
        <v>0</v>
      </c>
    </row>
    <row r="2828" spans="1:10" ht="12" customHeight="1">
      <c r="A2828" s="13" t="s">
        <v>2496</v>
      </c>
      <c r="B2828" s="13" t="s">
        <v>2497</v>
      </c>
      <c r="C2828" s="13" t="s">
        <v>671</v>
      </c>
      <c r="D2828" s="13" t="s">
        <v>697</v>
      </c>
      <c r="E2828" s="13" t="s">
        <v>93</v>
      </c>
      <c r="F2828" s="13" t="s">
        <v>2498</v>
      </c>
      <c r="G2828" s="20" t="str">
        <f>HYPERLINK("https://semena-nn.ru/catalog/56/888000000458","Фото")</f>
        <v>Фото</v>
      </c>
      <c r="H2828" s="18">
        <v>69.7</v>
      </c>
      <c r="I2828" s="27"/>
      <c r="J2828" s="13">
        <f>H2828*I2828</f>
        <v>0</v>
      </c>
    </row>
    <row r="2829" spans="1:10" ht="12" customHeight="1">
      <c r="A2829" s="13" t="s">
        <v>2499</v>
      </c>
      <c r="B2829" s="13" t="s">
        <v>2500</v>
      </c>
      <c r="C2829" s="13" t="s">
        <v>671</v>
      </c>
      <c r="D2829" s="13" t="s">
        <v>697</v>
      </c>
      <c r="E2829" s="13" t="s">
        <v>93</v>
      </c>
      <c r="F2829" s="13" t="s">
        <v>2501</v>
      </c>
      <c r="G2829" s="20" t="str">
        <f>HYPERLINK("https://semena-nn.ru/catalog/56/94151","Фото")</f>
        <v>Фото</v>
      </c>
      <c r="H2829" s="18">
        <v>64.599999999999994</v>
      </c>
      <c r="I2829" s="27"/>
      <c r="J2829" s="13">
        <f>H2829*I2829</f>
        <v>0</v>
      </c>
    </row>
    <row r="2830" spans="1:10" ht="12" customHeight="1">
      <c r="A2830" s="13" t="s">
        <v>2502</v>
      </c>
      <c r="B2830" s="13" t="s">
        <v>2503</v>
      </c>
      <c r="C2830" s="13" t="s">
        <v>671</v>
      </c>
      <c r="D2830" s="13" t="s">
        <v>697</v>
      </c>
      <c r="E2830" s="13" t="s">
        <v>93</v>
      </c>
      <c r="F2830" s="13" t="s">
        <v>2504</v>
      </c>
      <c r="G2830" s="20" t="str">
        <f>HYPERLINK("https://semena-nn.ru/catalog/56/999000009291","Фото")</f>
        <v>Фото</v>
      </c>
      <c r="H2830" s="18">
        <v>64.599999999999994</v>
      </c>
      <c r="I2830" s="27"/>
      <c r="J2830" s="13">
        <f>H2830*I2830</f>
        <v>0</v>
      </c>
    </row>
    <row r="2831" spans="1:10" ht="12" customHeight="1">
      <c r="A2831" s="13" t="s">
        <v>8309</v>
      </c>
      <c r="B2831" s="13" t="s">
        <v>8310</v>
      </c>
      <c r="C2831" s="13" t="s">
        <v>671</v>
      </c>
      <c r="D2831" s="13" t="s">
        <v>7728</v>
      </c>
      <c r="E2831" s="13" t="s">
        <v>93</v>
      </c>
      <c r="F2831" s="13" t="s">
        <v>8311</v>
      </c>
      <c r="G2831" s="20" t="str">
        <f>HYPERLINK("https://semena-nn.ru/catalog/56/999000009488","Фото")</f>
        <v>Фото</v>
      </c>
      <c r="H2831" s="18">
        <v>63.4</v>
      </c>
      <c r="I2831" s="27"/>
      <c r="J2831" s="13">
        <f>H2831*I2831</f>
        <v>0</v>
      </c>
    </row>
    <row r="2832" spans="1:10" ht="12" customHeight="1">
      <c r="A2832" s="13" t="s">
        <v>6809</v>
      </c>
      <c r="B2832" s="13" t="s">
        <v>6810</v>
      </c>
      <c r="C2832" s="13" t="s">
        <v>624</v>
      </c>
      <c r="D2832" s="13" t="s">
        <v>87</v>
      </c>
      <c r="E2832" s="13" t="s">
        <v>93</v>
      </c>
      <c r="F2832" s="13" t="s">
        <v>6811</v>
      </c>
      <c r="G2832" s="20" t="str">
        <f>HYPERLINK("https://semena-nn.ru/catalog/57/999000019574","Фото")</f>
        <v>Фото</v>
      </c>
      <c r="H2832" s="15">
        <v>84</v>
      </c>
      <c r="I2832" s="27"/>
      <c r="J2832" s="13">
        <f>H2832*I2832</f>
        <v>0</v>
      </c>
    </row>
    <row r="2833" spans="1:10" ht="12" customHeight="1">
      <c r="A2833" s="13" t="s">
        <v>6812</v>
      </c>
      <c r="B2833" s="13" t="s">
        <v>6813</v>
      </c>
      <c r="C2833" s="13" t="s">
        <v>624</v>
      </c>
      <c r="D2833" s="13" t="s">
        <v>87</v>
      </c>
      <c r="E2833" s="13" t="s">
        <v>93</v>
      </c>
      <c r="F2833" s="13" t="s">
        <v>6814</v>
      </c>
      <c r="G2833" s="20" t="str">
        <f>HYPERLINK("https://semena-nn.ru/catalog/57/999000004223","Фото")</f>
        <v>Фото</v>
      </c>
      <c r="H2833" s="15">
        <v>84</v>
      </c>
      <c r="I2833" s="27"/>
      <c r="J2833" s="13">
        <f>H2833*I2833</f>
        <v>0</v>
      </c>
    </row>
    <row r="2834" spans="1:10" ht="12" customHeight="1">
      <c r="A2834" s="13" t="s">
        <v>4843</v>
      </c>
      <c r="B2834" s="13" t="s">
        <v>4844</v>
      </c>
      <c r="C2834" s="13" t="s">
        <v>671</v>
      </c>
      <c r="D2834" s="13" t="s">
        <v>3475</v>
      </c>
      <c r="E2834" s="13" t="s">
        <v>93</v>
      </c>
      <c r="F2834" s="13" t="s">
        <v>4845</v>
      </c>
      <c r="G2834" s="20" t="str">
        <f>HYPERLINK("https://semena-nn.ru/catalog/56/999000020015","Фото")</f>
        <v>Фото</v>
      </c>
      <c r="H2834" s="19">
        <v>106.05</v>
      </c>
      <c r="I2834" s="27"/>
      <c r="J2834" s="13">
        <f>H2834*I2834</f>
        <v>0</v>
      </c>
    </row>
    <row r="2835" spans="1:10" ht="12" customHeight="1">
      <c r="A2835" s="13" t="s">
        <v>2505</v>
      </c>
      <c r="B2835" s="13" t="s">
        <v>2506</v>
      </c>
      <c r="C2835" s="13" t="s">
        <v>671</v>
      </c>
      <c r="D2835" s="13" t="s">
        <v>697</v>
      </c>
      <c r="E2835" s="13" t="s">
        <v>93</v>
      </c>
      <c r="F2835" s="13" t="s">
        <v>2507</v>
      </c>
      <c r="G2835" s="20" t="str">
        <f>HYPERLINK("https://semena-nn.ru/catalog/56/98054","Фото")</f>
        <v>Фото</v>
      </c>
      <c r="H2835" s="15">
        <v>26</v>
      </c>
      <c r="I2835" s="27"/>
      <c r="J2835" s="13">
        <f>H2835*I2835</f>
        <v>0</v>
      </c>
    </row>
    <row r="2836" spans="1:10" ht="12" customHeight="1">
      <c r="A2836" s="13" t="s">
        <v>6372</v>
      </c>
      <c r="B2836" s="13" t="s">
        <v>6373</v>
      </c>
      <c r="C2836" s="13" t="s">
        <v>605</v>
      </c>
      <c r="D2836" s="13" t="s">
        <v>6295</v>
      </c>
      <c r="E2836" s="13" t="s">
        <v>93</v>
      </c>
      <c r="F2836" s="13" t="s">
        <v>6374</v>
      </c>
      <c r="G2836" s="20" t="str">
        <f>HYPERLINK("https://semena-nn.ru/catalog/55/999000011647","Фото")</f>
        <v>Фото</v>
      </c>
      <c r="H2836" s="18">
        <v>199.5</v>
      </c>
      <c r="I2836" s="27"/>
      <c r="J2836" s="13">
        <f>H2836*I2836</f>
        <v>0</v>
      </c>
    </row>
    <row r="2837" spans="1:10" ht="12" customHeight="1">
      <c r="A2837" s="13" t="s">
        <v>7143</v>
      </c>
      <c r="B2837" s="13" t="s">
        <v>7144</v>
      </c>
      <c r="C2837" s="13" t="s">
        <v>671</v>
      </c>
      <c r="D2837" s="13" t="s">
        <v>6927</v>
      </c>
      <c r="E2837" s="13" t="s">
        <v>93</v>
      </c>
      <c r="F2837" s="17" t="s">
        <v>7145</v>
      </c>
      <c r="G2837" s="20" t="str">
        <f>HYPERLINK("https://semena-nn.ru/catalog/56/1314582","Фото")</f>
        <v>Фото</v>
      </c>
      <c r="H2837" s="19">
        <v>84.95</v>
      </c>
      <c r="I2837" s="27"/>
      <c r="J2837" s="13">
        <f>H2837*I2837</f>
        <v>0</v>
      </c>
    </row>
    <row r="2838" spans="1:10" ht="12" customHeight="1">
      <c r="A2838" s="13" t="s">
        <v>4846</v>
      </c>
      <c r="B2838" s="13" t="s">
        <v>4847</v>
      </c>
      <c r="C2838" s="13" t="s">
        <v>671</v>
      </c>
      <c r="D2838" s="13" t="s">
        <v>3475</v>
      </c>
      <c r="E2838" s="13" t="s">
        <v>93</v>
      </c>
      <c r="F2838" s="13" t="s">
        <v>4848</v>
      </c>
      <c r="G2838" s="20" t="str">
        <f>HYPERLINK("http://semena-nn.ru/catalog/56/1299551","Фото")</f>
        <v>Фото</v>
      </c>
      <c r="H2838" s="15">
        <v>105</v>
      </c>
      <c r="I2838" s="27"/>
      <c r="J2838" s="13">
        <f>H2838*I2838</f>
        <v>0</v>
      </c>
    </row>
    <row r="2839" spans="1:10" ht="12" customHeight="1">
      <c r="A2839" s="13" t="s">
        <v>4849</v>
      </c>
      <c r="B2839" s="13" t="s">
        <v>4850</v>
      </c>
      <c r="C2839" s="13" t="s">
        <v>671</v>
      </c>
      <c r="D2839" s="13" t="s">
        <v>3475</v>
      </c>
      <c r="E2839" s="13" t="s">
        <v>93</v>
      </c>
      <c r="F2839" s="13" t="s">
        <v>4851</v>
      </c>
      <c r="G2839" s="20" t="str">
        <f>HYPERLINK("https://semena-nn.ru/catalog/56/1299552","Фото")</f>
        <v>Фото</v>
      </c>
      <c r="H2839" s="15">
        <v>105</v>
      </c>
      <c r="I2839" s="27"/>
      <c r="J2839" s="13">
        <f>H2839*I2839</f>
        <v>0</v>
      </c>
    </row>
    <row r="2840" spans="1:10" ht="12" customHeight="1">
      <c r="A2840" s="13" t="s">
        <v>4852</v>
      </c>
      <c r="B2840" s="13" t="s">
        <v>4853</v>
      </c>
      <c r="C2840" s="13" t="s">
        <v>671</v>
      </c>
      <c r="D2840" s="13" t="s">
        <v>3475</v>
      </c>
      <c r="E2840" s="13" t="s">
        <v>93</v>
      </c>
      <c r="F2840" s="13" t="s">
        <v>4854</v>
      </c>
      <c r="G2840" s="20" t="str">
        <f>HYPERLINK("https://semena-nn.ru/catalog/56/1299553","Фото")</f>
        <v>Фото</v>
      </c>
      <c r="H2840" s="15">
        <v>105</v>
      </c>
      <c r="I2840" s="27"/>
      <c r="J2840" s="13">
        <f>H2840*I2840</f>
        <v>0</v>
      </c>
    </row>
    <row r="2841" spans="1:10" ht="12" customHeight="1">
      <c r="A2841" s="13" t="s">
        <v>4855</v>
      </c>
      <c r="B2841" s="13" t="s">
        <v>4856</v>
      </c>
      <c r="C2841" s="13" t="s">
        <v>671</v>
      </c>
      <c r="D2841" s="13" t="s">
        <v>3475</v>
      </c>
      <c r="E2841" s="13" t="s">
        <v>93</v>
      </c>
      <c r="F2841" s="13" t="s">
        <v>4857</v>
      </c>
      <c r="G2841" s="20" t="str">
        <f>HYPERLINK("https://semena-nn.ru/catalog/56/999000019578","Фото")</f>
        <v>Фото</v>
      </c>
      <c r="H2841" s="15">
        <v>105</v>
      </c>
      <c r="I2841" s="27"/>
      <c r="J2841" s="13">
        <f>H2841*I2841</f>
        <v>0</v>
      </c>
    </row>
    <row r="2842" spans="1:10" ht="12" customHeight="1">
      <c r="A2842" s="13" t="s">
        <v>4858</v>
      </c>
      <c r="B2842" s="13" t="s">
        <v>4859</v>
      </c>
      <c r="C2842" s="13" t="s">
        <v>671</v>
      </c>
      <c r="D2842" s="13" t="s">
        <v>3475</v>
      </c>
      <c r="E2842" s="13" t="s">
        <v>93</v>
      </c>
      <c r="F2842" s="13" t="s">
        <v>4854</v>
      </c>
      <c r="G2842" s="20" t="str">
        <f>HYPERLINK("https://semena-nn.ru/catalog/56/999000012764","Фото")</f>
        <v>Фото</v>
      </c>
      <c r="H2842" s="15">
        <v>105</v>
      </c>
      <c r="I2842" s="27"/>
      <c r="J2842" s="13">
        <f>H2842*I2842</f>
        <v>0</v>
      </c>
    </row>
    <row r="2843" spans="1:10" ht="12" customHeight="1">
      <c r="A2843" s="13" t="s">
        <v>4860</v>
      </c>
      <c r="B2843" s="13" t="s">
        <v>4861</v>
      </c>
      <c r="C2843" s="13" t="s">
        <v>671</v>
      </c>
      <c r="D2843" s="13" t="s">
        <v>3475</v>
      </c>
      <c r="E2843" s="13" t="s">
        <v>93</v>
      </c>
      <c r="F2843" s="13" t="s">
        <v>4862</v>
      </c>
      <c r="G2843" s="20" t="str">
        <f>HYPERLINK("https://semena-nn.ru/catalog/56/999000006013","Фото")</f>
        <v>Фото</v>
      </c>
      <c r="H2843" s="15">
        <v>105</v>
      </c>
      <c r="I2843" s="27"/>
      <c r="J2843" s="13">
        <f>H2843*I2843</f>
        <v>0</v>
      </c>
    </row>
    <row r="2844" spans="1:10" ht="12" customHeight="1">
      <c r="A2844" s="13" t="s">
        <v>2508</v>
      </c>
      <c r="B2844" s="13" t="s">
        <v>2509</v>
      </c>
      <c r="C2844" s="13" t="s">
        <v>605</v>
      </c>
      <c r="D2844" s="13" t="s">
        <v>697</v>
      </c>
      <c r="E2844" s="13" t="s">
        <v>93</v>
      </c>
      <c r="F2844" s="13" t="s">
        <v>2510</v>
      </c>
      <c r="G2844" s="20" t="str">
        <f>HYPERLINK("https://semena-nn.ru/catalog/55/999000011135","Фото")</f>
        <v>Фото</v>
      </c>
      <c r="H2844" s="18">
        <v>21.8</v>
      </c>
      <c r="I2844" s="27"/>
      <c r="J2844" s="13">
        <f>H2844*I2844</f>
        <v>0</v>
      </c>
    </row>
    <row r="2845" spans="1:10" ht="12" customHeight="1">
      <c r="A2845" s="13" t="s">
        <v>4863</v>
      </c>
      <c r="B2845" s="13" t="s">
        <v>4864</v>
      </c>
      <c r="C2845" s="13" t="s">
        <v>605</v>
      </c>
      <c r="D2845" s="13" t="s">
        <v>3475</v>
      </c>
      <c r="E2845" s="13" t="s">
        <v>93</v>
      </c>
      <c r="F2845" s="13" t="s">
        <v>4865</v>
      </c>
      <c r="G2845" s="20" t="str">
        <f>HYPERLINK("http://semena-nn.ru/catalog/55/1116463","Фото")</f>
        <v>Фото</v>
      </c>
      <c r="H2845" s="18">
        <v>18.7</v>
      </c>
      <c r="I2845" s="27"/>
      <c r="J2845" s="13">
        <f>H2845*I2845</f>
        <v>0</v>
      </c>
    </row>
    <row r="2846" spans="1:10" ht="12" customHeight="1">
      <c r="A2846" s="13" t="s">
        <v>5781</v>
      </c>
      <c r="B2846" s="13" t="s">
        <v>5782</v>
      </c>
      <c r="C2846" s="13" t="s">
        <v>671</v>
      </c>
      <c r="D2846" s="13" t="s">
        <v>5136</v>
      </c>
      <c r="E2846" s="13" t="s">
        <v>93</v>
      </c>
      <c r="F2846" s="13" t="s">
        <v>5783</v>
      </c>
      <c r="G2846" s="20" t="str">
        <f>HYPERLINK("https://semena-nn.ru/catalog/56/999000013274","Фото")</f>
        <v>Фото</v>
      </c>
      <c r="H2846" s="15">
        <v>48</v>
      </c>
      <c r="I2846" s="27"/>
      <c r="J2846" s="13">
        <f>H2846*I2846</f>
        <v>0</v>
      </c>
    </row>
    <row r="2847" spans="1:10" ht="12" customHeight="1">
      <c r="A2847" s="13" t="s">
        <v>5784</v>
      </c>
      <c r="B2847" s="13" t="s">
        <v>5785</v>
      </c>
      <c r="C2847" s="13" t="s">
        <v>671</v>
      </c>
      <c r="D2847" s="13" t="s">
        <v>5136</v>
      </c>
      <c r="E2847" s="13" t="s">
        <v>93</v>
      </c>
      <c r="F2847" s="13" t="s">
        <v>5786</v>
      </c>
      <c r="G2847" s="20" t="str">
        <f>HYPERLINK("https://semena-nn.ru/catalog/56/999000013275","Фото")</f>
        <v>Фото</v>
      </c>
      <c r="H2847" s="15">
        <v>48</v>
      </c>
      <c r="I2847" s="27"/>
      <c r="J2847" s="13">
        <f>H2847*I2847</f>
        <v>0</v>
      </c>
    </row>
    <row r="2848" spans="1:10" ht="12" customHeight="1">
      <c r="A2848" s="13" t="s">
        <v>5787</v>
      </c>
      <c r="B2848" s="13" t="s">
        <v>5788</v>
      </c>
      <c r="C2848" s="13" t="s">
        <v>671</v>
      </c>
      <c r="D2848" s="13" t="s">
        <v>5136</v>
      </c>
      <c r="E2848" s="13" t="s">
        <v>93</v>
      </c>
      <c r="F2848" s="13" t="s">
        <v>5789</v>
      </c>
      <c r="G2848" s="20" t="str">
        <f>HYPERLINK("https://semena-nn.ru/catalog/56/888000000079","Фото")</f>
        <v>Фото</v>
      </c>
      <c r="H2848" s="15">
        <v>197</v>
      </c>
      <c r="I2848" s="27"/>
      <c r="J2848" s="13">
        <f>H2848*I2848</f>
        <v>0</v>
      </c>
    </row>
    <row r="2849" spans="1:10" ht="12" customHeight="1">
      <c r="A2849" s="13" t="s">
        <v>2511</v>
      </c>
      <c r="B2849" s="13" t="s">
        <v>2512</v>
      </c>
      <c r="C2849" s="13" t="s">
        <v>671</v>
      </c>
      <c r="D2849" s="13" t="s">
        <v>697</v>
      </c>
      <c r="E2849" s="13" t="s">
        <v>93</v>
      </c>
      <c r="F2849" s="13" t="s">
        <v>2513</v>
      </c>
      <c r="G2849" s="20" t="str">
        <f>HYPERLINK("http://semena-nn.ru/catalog/56/1122311","Фото")</f>
        <v>Фото</v>
      </c>
      <c r="H2849" s="18">
        <v>24.3</v>
      </c>
      <c r="I2849" s="27"/>
      <c r="J2849" s="13">
        <f>H2849*I2849</f>
        <v>0</v>
      </c>
    </row>
    <row r="2850" spans="1:10" ht="12" customHeight="1">
      <c r="A2850" s="13" t="s">
        <v>2514</v>
      </c>
      <c r="B2850" s="13" t="s">
        <v>2515</v>
      </c>
      <c r="C2850" s="13" t="s">
        <v>671</v>
      </c>
      <c r="D2850" s="13" t="s">
        <v>697</v>
      </c>
      <c r="E2850" s="13" t="s">
        <v>93</v>
      </c>
      <c r="F2850" s="13" t="s">
        <v>2516</v>
      </c>
      <c r="G2850" s="20" t="str">
        <f>HYPERLINK("https://semena-nn.ru/catalog/56/999000008074","Фото")</f>
        <v>Фото</v>
      </c>
      <c r="H2850" s="19">
        <v>19.45</v>
      </c>
      <c r="I2850" s="27"/>
      <c r="J2850" s="13">
        <f>H2850*I2850</f>
        <v>0</v>
      </c>
    </row>
    <row r="2851" spans="1:10" ht="12" customHeight="1">
      <c r="A2851" s="13" t="s">
        <v>2517</v>
      </c>
      <c r="B2851" s="13" t="s">
        <v>2518</v>
      </c>
      <c r="C2851" s="13" t="s">
        <v>605</v>
      </c>
      <c r="D2851" s="13" t="s">
        <v>697</v>
      </c>
      <c r="E2851" s="13" t="s">
        <v>93</v>
      </c>
      <c r="F2851" s="17" t="s">
        <v>2519</v>
      </c>
      <c r="G2851" s="20" t="str">
        <f>HYPERLINK("https://semena-nn.ru/catalog/55/1126482","Фото")</f>
        <v>Фото</v>
      </c>
      <c r="H2851" s="18">
        <v>18.7</v>
      </c>
      <c r="I2851" s="27"/>
      <c r="J2851" s="13">
        <f>H2851*I2851</f>
        <v>0</v>
      </c>
    </row>
    <row r="2852" spans="1:10" ht="12" customHeight="1">
      <c r="A2852" s="13" t="s">
        <v>2520</v>
      </c>
      <c r="B2852" s="13" t="s">
        <v>2521</v>
      </c>
      <c r="C2852" s="13" t="s">
        <v>671</v>
      </c>
      <c r="D2852" s="13" t="s">
        <v>697</v>
      </c>
      <c r="E2852" s="13" t="s">
        <v>93</v>
      </c>
      <c r="F2852" s="13" t="s">
        <v>2522</v>
      </c>
      <c r="G2852" s="20" t="str">
        <f>HYPERLINK("http://semena-nn.ru/catalog/56/99005","Фото")</f>
        <v>Фото</v>
      </c>
      <c r="H2852" s="18">
        <v>18.7</v>
      </c>
      <c r="I2852" s="27"/>
      <c r="J2852" s="13">
        <f>H2852*I2852</f>
        <v>0</v>
      </c>
    </row>
    <row r="2853" spans="1:10" ht="12" customHeight="1">
      <c r="A2853" s="13" t="s">
        <v>2523</v>
      </c>
      <c r="B2853" s="13" t="s">
        <v>2524</v>
      </c>
      <c r="C2853" s="13" t="s">
        <v>605</v>
      </c>
      <c r="D2853" s="13" t="s">
        <v>697</v>
      </c>
      <c r="E2853" s="13" t="s">
        <v>93</v>
      </c>
      <c r="F2853" s="13" t="s">
        <v>2525</v>
      </c>
      <c r="G2853" s="20" t="str">
        <f>HYPERLINK("http://semena-nn.ru/catalog/55/1288217","Фото")</f>
        <v>Фото</v>
      </c>
      <c r="H2853" s="18">
        <v>26.1</v>
      </c>
      <c r="I2853" s="27"/>
      <c r="J2853" s="13">
        <f>H2853*I2853</f>
        <v>0</v>
      </c>
    </row>
    <row r="2854" spans="1:10" ht="12" customHeight="1">
      <c r="A2854" s="13" t="s">
        <v>2526</v>
      </c>
      <c r="B2854" s="13" t="s">
        <v>2527</v>
      </c>
      <c r="C2854" s="13" t="s">
        <v>605</v>
      </c>
      <c r="D2854" s="13" t="s">
        <v>697</v>
      </c>
      <c r="E2854" s="13" t="s">
        <v>93</v>
      </c>
      <c r="F2854" s="17" t="s">
        <v>2528</v>
      </c>
      <c r="G2854" s="20" t="str">
        <f>HYPERLINK("http://semena-nn.ru/catalog/55/1288218","Фото")</f>
        <v>Фото</v>
      </c>
      <c r="H2854" s="18">
        <v>26.1</v>
      </c>
      <c r="I2854" s="27"/>
      <c r="J2854" s="13">
        <f>H2854*I2854</f>
        <v>0</v>
      </c>
    </row>
    <row r="2855" spans="1:10" ht="12" customHeight="1">
      <c r="A2855" s="13" t="s">
        <v>4866</v>
      </c>
      <c r="B2855" s="13" t="s">
        <v>4867</v>
      </c>
      <c r="C2855" s="13" t="s">
        <v>605</v>
      </c>
      <c r="D2855" s="13" t="s">
        <v>3475</v>
      </c>
      <c r="E2855" s="13" t="s">
        <v>93</v>
      </c>
      <c r="F2855" s="13" t="s">
        <v>4868</v>
      </c>
      <c r="G2855" s="20" t="str">
        <f>HYPERLINK("https://semena-nn.ru/catalog/55/1289336","Фото")</f>
        <v>Фото</v>
      </c>
      <c r="H2855" s="19">
        <v>17.350000000000001</v>
      </c>
      <c r="I2855" s="27"/>
      <c r="J2855" s="13">
        <f>H2855*I2855</f>
        <v>0</v>
      </c>
    </row>
    <row r="2856" spans="1:10" ht="12" customHeight="1">
      <c r="A2856" s="13" t="s">
        <v>2529</v>
      </c>
      <c r="B2856" s="13" t="s">
        <v>2530</v>
      </c>
      <c r="C2856" s="13" t="s">
        <v>605</v>
      </c>
      <c r="D2856" s="13" t="s">
        <v>697</v>
      </c>
      <c r="E2856" s="13" t="s">
        <v>93</v>
      </c>
      <c r="F2856" s="13" t="s">
        <v>2531</v>
      </c>
      <c r="G2856" s="20" t="str">
        <f>HYPERLINK("http://semena-nn.ru/catalog/55/999000006707","Фото")</f>
        <v>Фото</v>
      </c>
      <c r="H2856" s="18">
        <v>47.2</v>
      </c>
      <c r="I2856" s="27"/>
      <c r="J2856" s="13">
        <f>H2856*I2856</f>
        <v>0</v>
      </c>
    </row>
    <row r="2857" spans="1:10" ht="12" customHeight="1">
      <c r="A2857" s="13" t="s">
        <v>4869</v>
      </c>
      <c r="B2857" s="13" t="s">
        <v>4870</v>
      </c>
      <c r="C2857" s="13" t="s">
        <v>605</v>
      </c>
      <c r="D2857" s="13" t="s">
        <v>3475</v>
      </c>
      <c r="E2857" s="13" t="s">
        <v>93</v>
      </c>
      <c r="F2857" s="13" t="s">
        <v>4871</v>
      </c>
      <c r="G2857" s="20" t="str">
        <f>HYPERLINK("http://semena-nn.ru/catalog/55/1124459","Фото")</f>
        <v>Фото</v>
      </c>
      <c r="H2857" s="18">
        <v>18.7</v>
      </c>
      <c r="I2857" s="27"/>
      <c r="J2857" s="13">
        <f>H2857*I2857</f>
        <v>0</v>
      </c>
    </row>
    <row r="2858" spans="1:10" ht="12" customHeight="1">
      <c r="A2858" s="13" t="s">
        <v>2532</v>
      </c>
      <c r="B2858" s="13" t="s">
        <v>2533</v>
      </c>
      <c r="C2858" s="13" t="s">
        <v>605</v>
      </c>
      <c r="D2858" s="13" t="s">
        <v>697</v>
      </c>
      <c r="E2858" s="13" t="s">
        <v>93</v>
      </c>
      <c r="F2858" s="13" t="s">
        <v>2534</v>
      </c>
      <c r="G2858" s="20" t="str">
        <f>HYPERLINK("https://semena-nn.ru/catalog/55/99452","Фото")</f>
        <v>Фото</v>
      </c>
      <c r="H2858" s="19">
        <v>27.65</v>
      </c>
      <c r="I2858" s="27"/>
      <c r="J2858" s="13">
        <f>H2858*I2858</f>
        <v>0</v>
      </c>
    </row>
    <row r="2859" spans="1:10" ht="12" customHeight="1">
      <c r="A2859" s="13" t="s">
        <v>2535</v>
      </c>
      <c r="B2859" s="13" t="s">
        <v>2536</v>
      </c>
      <c r="C2859" s="13" t="s">
        <v>605</v>
      </c>
      <c r="D2859" s="13" t="s">
        <v>697</v>
      </c>
      <c r="E2859" s="13" t="s">
        <v>93</v>
      </c>
      <c r="F2859" s="13" t="s">
        <v>2537</v>
      </c>
      <c r="G2859" s="20" t="str">
        <f>HYPERLINK("https://semena-nn.ru/catalog/55/999000009294","Фото")</f>
        <v>Фото</v>
      </c>
      <c r="H2859" s="18">
        <v>18.7</v>
      </c>
      <c r="I2859" s="27"/>
      <c r="J2859" s="13">
        <f>H2859*I2859</f>
        <v>0</v>
      </c>
    </row>
    <row r="2860" spans="1:10" ht="12" customHeight="1">
      <c r="A2860" s="13" t="s">
        <v>4872</v>
      </c>
      <c r="B2860" s="13" t="s">
        <v>4873</v>
      </c>
      <c r="C2860" s="13" t="s">
        <v>605</v>
      </c>
      <c r="D2860" s="13" t="s">
        <v>3475</v>
      </c>
      <c r="E2860" s="13" t="s">
        <v>93</v>
      </c>
      <c r="F2860" s="13" t="s">
        <v>4874</v>
      </c>
      <c r="G2860" s="20" t="str">
        <f>HYPERLINK("https://semena-nn.ru/catalog/55/1116465","Фото")</f>
        <v>Фото</v>
      </c>
      <c r="H2860" s="18">
        <v>18.7</v>
      </c>
      <c r="I2860" s="27"/>
      <c r="J2860" s="13">
        <f>H2860*I2860</f>
        <v>0</v>
      </c>
    </row>
    <row r="2861" spans="1:10" ht="12" customHeight="1">
      <c r="A2861" s="13" t="s">
        <v>4875</v>
      </c>
      <c r="B2861" s="13" t="s">
        <v>4876</v>
      </c>
      <c r="C2861" s="13" t="s">
        <v>605</v>
      </c>
      <c r="D2861" s="13" t="s">
        <v>3475</v>
      </c>
      <c r="E2861" s="13" t="s">
        <v>93</v>
      </c>
      <c r="F2861" s="13" t="s">
        <v>4877</v>
      </c>
      <c r="G2861" s="20" t="str">
        <f>HYPERLINK("https://semena-nn.ru/catalog/55/1126653","Фото")</f>
        <v>Фото</v>
      </c>
      <c r="H2861" s="18">
        <v>18.7</v>
      </c>
      <c r="I2861" s="27"/>
      <c r="J2861" s="13">
        <f>H2861*I2861</f>
        <v>0</v>
      </c>
    </row>
    <row r="2862" spans="1:10" ht="12" customHeight="1">
      <c r="A2862" s="13" t="s">
        <v>6815</v>
      </c>
      <c r="B2862" s="13" t="s">
        <v>6816</v>
      </c>
      <c r="C2862" s="13" t="s">
        <v>605</v>
      </c>
      <c r="D2862" s="13" t="s">
        <v>87</v>
      </c>
      <c r="E2862" s="13" t="s">
        <v>93</v>
      </c>
      <c r="F2862" s="13" t="s">
        <v>6817</v>
      </c>
      <c r="G2862" s="20" t="str">
        <f>HYPERLINK("https://semena-nn.ru/catalog/55/1303669","Фото")</f>
        <v>Фото</v>
      </c>
      <c r="H2862" s="18">
        <v>19.5</v>
      </c>
      <c r="I2862" s="27"/>
      <c r="J2862" s="13">
        <f>H2862*I2862</f>
        <v>0</v>
      </c>
    </row>
    <row r="2863" spans="1:10" ht="12" customHeight="1">
      <c r="A2863" s="13" t="s">
        <v>6818</v>
      </c>
      <c r="B2863" s="13" t="s">
        <v>6819</v>
      </c>
      <c r="C2863" s="13" t="s">
        <v>605</v>
      </c>
      <c r="D2863" s="13" t="s">
        <v>87</v>
      </c>
      <c r="E2863" s="13" t="s">
        <v>93</v>
      </c>
      <c r="F2863" s="13" t="s">
        <v>6820</v>
      </c>
      <c r="G2863" s="20" t="str">
        <f>HYPERLINK("https://semena-nn.ru/catalog/55/1288089","Фото")</f>
        <v>Фото</v>
      </c>
      <c r="H2863" s="18">
        <v>19.5</v>
      </c>
      <c r="I2863" s="27"/>
      <c r="J2863" s="13">
        <f>H2863*I2863</f>
        <v>0</v>
      </c>
    </row>
    <row r="2864" spans="1:10" ht="12" customHeight="1">
      <c r="A2864" s="13" t="s">
        <v>6821</v>
      </c>
      <c r="B2864" s="13" t="s">
        <v>6822</v>
      </c>
      <c r="C2864" s="13" t="s">
        <v>605</v>
      </c>
      <c r="D2864" s="13" t="s">
        <v>87</v>
      </c>
      <c r="E2864" s="13" t="s">
        <v>93</v>
      </c>
      <c r="F2864" s="13" t="s">
        <v>6823</v>
      </c>
      <c r="G2864" s="20" t="str">
        <f>HYPERLINK("https://semena-nn.ru/catalog/55/1121792","Фото")</f>
        <v>Фото</v>
      </c>
      <c r="H2864" s="19">
        <v>22.05</v>
      </c>
      <c r="I2864" s="27"/>
      <c r="J2864" s="13">
        <f>H2864*I2864</f>
        <v>0</v>
      </c>
    </row>
    <row r="2865" spans="1:10" ht="12" customHeight="1">
      <c r="A2865" s="13" t="s">
        <v>669</v>
      </c>
      <c r="B2865" s="13" t="s">
        <v>670</v>
      </c>
      <c r="C2865" s="13" t="s">
        <v>671</v>
      </c>
      <c r="D2865" s="13" t="s">
        <v>28</v>
      </c>
      <c r="E2865" s="13" t="s">
        <v>93</v>
      </c>
      <c r="F2865" s="13" t="s">
        <v>672</v>
      </c>
      <c r="G2865" s="20" t="str">
        <f>HYPERLINK("https://semena-nn.ru/catalog/56/888000000582","Фото")</f>
        <v>Фото</v>
      </c>
      <c r="H2865" s="19">
        <v>31.29</v>
      </c>
      <c r="I2865" s="27"/>
      <c r="J2865" s="13">
        <f>H2865*I2865</f>
        <v>0</v>
      </c>
    </row>
    <row r="2866" spans="1:10" ht="12" customHeight="1">
      <c r="A2866" s="13" t="s">
        <v>673</v>
      </c>
      <c r="B2866" s="13" t="s">
        <v>674</v>
      </c>
      <c r="C2866" s="13" t="s">
        <v>671</v>
      </c>
      <c r="D2866" s="13" t="s">
        <v>28</v>
      </c>
      <c r="E2866" s="13" t="s">
        <v>93</v>
      </c>
      <c r="F2866" s="13" t="s">
        <v>675</v>
      </c>
      <c r="G2866" s="20" t="str">
        <f>HYPERLINK("https://semena-nn.ru/catalog/56/999000011257","Фото")</f>
        <v>Фото</v>
      </c>
      <c r="H2866" s="19">
        <v>28.88</v>
      </c>
      <c r="I2866" s="27"/>
      <c r="J2866" s="13">
        <f>H2866*I2866</f>
        <v>0</v>
      </c>
    </row>
    <row r="2867" spans="1:10" ht="12" customHeight="1">
      <c r="A2867" s="13" t="s">
        <v>676</v>
      </c>
      <c r="B2867" s="13" t="s">
        <v>677</v>
      </c>
      <c r="C2867" s="13" t="s">
        <v>671</v>
      </c>
      <c r="D2867" s="13" t="s">
        <v>28</v>
      </c>
      <c r="E2867" s="13" t="s">
        <v>93</v>
      </c>
      <c r="F2867" s="13" t="s">
        <v>675</v>
      </c>
      <c r="G2867" s="20" t="str">
        <f>HYPERLINK("https://semena-nn.ru/catalog/56/999000019867","Фото")</f>
        <v>Фото</v>
      </c>
      <c r="H2867" s="19">
        <v>34.97</v>
      </c>
      <c r="I2867" s="27"/>
      <c r="J2867" s="13">
        <f>H2867*I2867</f>
        <v>0</v>
      </c>
    </row>
    <row r="2868" spans="1:10" ht="12" customHeight="1">
      <c r="A2868" s="13" t="s">
        <v>678</v>
      </c>
      <c r="B2868" s="13" t="s">
        <v>679</v>
      </c>
      <c r="C2868" s="13" t="s">
        <v>671</v>
      </c>
      <c r="D2868" s="13" t="s">
        <v>28</v>
      </c>
      <c r="E2868" s="13" t="s">
        <v>93</v>
      </c>
      <c r="F2868" s="13" t="s">
        <v>680</v>
      </c>
      <c r="G2868" s="20" t="str">
        <f>HYPERLINK("https://semena-nn.ru/catalog/56/999000010054","Фото")</f>
        <v>Фото</v>
      </c>
      <c r="H2868" s="19">
        <v>36.229999999999997</v>
      </c>
      <c r="I2868" s="27"/>
      <c r="J2868" s="13">
        <f>H2868*I2868</f>
        <v>0</v>
      </c>
    </row>
    <row r="2869" spans="1:10" ht="12" customHeight="1">
      <c r="A2869" s="13" t="s">
        <v>6824</v>
      </c>
      <c r="B2869" s="13" t="s">
        <v>6825</v>
      </c>
      <c r="C2869" s="13" t="s">
        <v>605</v>
      </c>
      <c r="D2869" s="13" t="s">
        <v>87</v>
      </c>
      <c r="E2869" s="13" t="s">
        <v>93</v>
      </c>
      <c r="F2869" s="13" t="s">
        <v>6826</v>
      </c>
      <c r="G2869" s="20" t="str">
        <f>HYPERLINK("https://semena-nn.ru/catalog/55/1306589","Фото")</f>
        <v>Фото</v>
      </c>
      <c r="H2869" s="18">
        <v>19.5</v>
      </c>
      <c r="I2869" s="27"/>
      <c r="J2869" s="13">
        <f>H2869*I2869</f>
        <v>0</v>
      </c>
    </row>
    <row r="2870" spans="1:10" ht="12" customHeight="1">
      <c r="A2870" s="13" t="s">
        <v>6013</v>
      </c>
      <c r="B2870" s="13" t="s">
        <v>6014</v>
      </c>
      <c r="C2870" s="13" t="s">
        <v>605</v>
      </c>
      <c r="D2870" s="13" t="s">
        <v>5834</v>
      </c>
      <c r="E2870" s="13" t="s">
        <v>93</v>
      </c>
      <c r="F2870" s="13" t="s">
        <v>6015</v>
      </c>
      <c r="G2870" s="20" t="str">
        <f>HYPERLINK("https://semena-nn.ru/catalog/55/888000001609","Фото")</f>
        <v>Фото</v>
      </c>
      <c r="H2870" s="19">
        <v>20.95</v>
      </c>
      <c r="I2870" s="27"/>
      <c r="J2870" s="13">
        <f>H2870*I2870</f>
        <v>0</v>
      </c>
    </row>
    <row r="2871" spans="1:10" ht="12" customHeight="1">
      <c r="A2871" s="13" t="s">
        <v>2538</v>
      </c>
      <c r="B2871" s="13" t="s">
        <v>2539</v>
      </c>
      <c r="C2871" s="13" t="s">
        <v>605</v>
      </c>
      <c r="D2871" s="13" t="s">
        <v>697</v>
      </c>
      <c r="E2871" s="13" t="s">
        <v>93</v>
      </c>
      <c r="F2871" s="13" t="s">
        <v>2540</v>
      </c>
      <c r="G2871" s="20" t="str">
        <f>HYPERLINK("https://semena-nn.ru/catalog/55/999000009297","Фото")</f>
        <v>Фото</v>
      </c>
      <c r="H2871" s="18">
        <v>41.3</v>
      </c>
      <c r="I2871" s="27"/>
      <c r="J2871" s="13">
        <f>H2871*I2871</f>
        <v>0</v>
      </c>
    </row>
    <row r="2872" spans="1:10" ht="12" customHeight="1">
      <c r="A2872" s="13" t="s">
        <v>681</v>
      </c>
      <c r="B2872" s="13" t="s">
        <v>682</v>
      </c>
      <c r="C2872" s="13" t="s">
        <v>605</v>
      </c>
      <c r="D2872" s="13" t="s">
        <v>28</v>
      </c>
      <c r="E2872" s="13" t="s">
        <v>93</v>
      </c>
      <c r="F2872" s="13" t="s">
        <v>683</v>
      </c>
      <c r="G2872" s="20" t="str">
        <f>HYPERLINK("https://semena-nn.ru/catalog/55/999000011258","Фото")</f>
        <v>Фото</v>
      </c>
      <c r="H2872" s="19">
        <v>27.83</v>
      </c>
      <c r="I2872" s="27"/>
      <c r="J2872" s="13">
        <f>H2872*I2872</f>
        <v>0</v>
      </c>
    </row>
    <row r="2873" spans="1:10" ht="12" customHeight="1">
      <c r="A2873" s="13" t="s">
        <v>684</v>
      </c>
      <c r="B2873" s="13" t="s">
        <v>685</v>
      </c>
      <c r="C2873" s="13" t="s">
        <v>671</v>
      </c>
      <c r="D2873" s="13" t="s">
        <v>28</v>
      </c>
      <c r="E2873" s="13" t="s">
        <v>93</v>
      </c>
      <c r="F2873" s="13" t="s">
        <v>686</v>
      </c>
      <c r="G2873" s="20" t="str">
        <f>HYPERLINK("https://semena-nn.ru/catalog/56/888000000583","Фото")</f>
        <v>Фото</v>
      </c>
      <c r="H2873" s="19">
        <v>41.48</v>
      </c>
      <c r="I2873" s="27"/>
      <c r="J2873" s="13">
        <f>H2873*I2873</f>
        <v>0</v>
      </c>
    </row>
    <row r="2874" spans="1:10" ht="12" customHeight="1">
      <c r="A2874" s="13" t="s">
        <v>4878</v>
      </c>
      <c r="B2874" s="13" t="s">
        <v>4879</v>
      </c>
      <c r="C2874" s="13" t="s">
        <v>88</v>
      </c>
      <c r="D2874" s="13" t="s">
        <v>3475</v>
      </c>
      <c r="E2874" s="13" t="s">
        <v>93</v>
      </c>
      <c r="F2874" s="13" t="s">
        <v>4880</v>
      </c>
      <c r="G2874" s="20" t="str">
        <f>HYPERLINK("https://semena-nn.ru/catalog/56/1119618","Фото")</f>
        <v>Фото</v>
      </c>
      <c r="H2874" s="19">
        <v>49.35</v>
      </c>
      <c r="I2874" s="27"/>
      <c r="J2874" s="13">
        <f>H2874*I2874</f>
        <v>0</v>
      </c>
    </row>
    <row r="2875" spans="1:10" ht="12" customHeight="1">
      <c r="A2875" s="13" t="s">
        <v>4881</v>
      </c>
      <c r="B2875" s="13" t="s">
        <v>4882</v>
      </c>
      <c r="C2875" s="13" t="s">
        <v>624</v>
      </c>
      <c r="D2875" s="13" t="s">
        <v>3475</v>
      </c>
      <c r="E2875" s="13" t="s">
        <v>93</v>
      </c>
      <c r="F2875" s="13" t="s">
        <v>4883</v>
      </c>
      <c r="G2875" s="20" t="str">
        <f>HYPERLINK("https://semena-nn.ru/catalog/57/1121438","Фото")</f>
        <v>Фото</v>
      </c>
      <c r="H2875" s="19">
        <v>34.65</v>
      </c>
      <c r="I2875" s="27"/>
      <c r="J2875" s="13">
        <f>H2875*I2875</f>
        <v>0</v>
      </c>
    </row>
    <row r="2876" spans="1:10" ht="12" customHeight="1">
      <c r="A2876" s="13" t="s">
        <v>8971</v>
      </c>
      <c r="B2876" s="13" t="s">
        <v>8972</v>
      </c>
      <c r="C2876" s="13" t="s">
        <v>605</v>
      </c>
      <c r="D2876" s="13" t="s">
        <v>8717</v>
      </c>
      <c r="E2876" s="13" t="s">
        <v>93</v>
      </c>
      <c r="F2876" s="13" t="s">
        <v>8973</v>
      </c>
      <c r="G2876" s="20" t="str">
        <f>HYPERLINK("https://semena-nn.ru/catalog/55/999000003717","Фото")</f>
        <v>Фото</v>
      </c>
      <c r="H2876" s="18">
        <v>37.6</v>
      </c>
      <c r="I2876" s="27"/>
      <c r="J2876" s="13">
        <f>H2876*I2876</f>
        <v>0</v>
      </c>
    </row>
    <row r="2877" spans="1:10" ht="12" customHeight="1">
      <c r="A2877" s="13" t="s">
        <v>2541</v>
      </c>
      <c r="B2877" s="13" t="s">
        <v>2542</v>
      </c>
      <c r="C2877" s="13" t="s">
        <v>605</v>
      </c>
      <c r="D2877" s="13" t="s">
        <v>697</v>
      </c>
      <c r="E2877" s="13" t="s">
        <v>93</v>
      </c>
      <c r="F2877" s="13" t="s">
        <v>2543</v>
      </c>
      <c r="G2877" s="20" t="str">
        <f>HYPERLINK("https://semena-nn.ru/catalog/55/1305703","Фото")</f>
        <v>Фото</v>
      </c>
      <c r="H2877" s="18">
        <v>24.3</v>
      </c>
      <c r="I2877" s="27"/>
      <c r="J2877" s="13">
        <f>H2877*I2877</f>
        <v>0</v>
      </c>
    </row>
    <row r="2878" spans="1:10" ht="12" customHeight="1">
      <c r="A2878" s="13" t="s">
        <v>3452</v>
      </c>
      <c r="B2878" s="13" t="s">
        <v>3453</v>
      </c>
      <c r="C2878" s="13" t="s">
        <v>605</v>
      </c>
      <c r="D2878" s="13" t="s">
        <v>697</v>
      </c>
      <c r="E2878" s="13" t="s">
        <v>3064</v>
      </c>
      <c r="F2878" s="13" t="s">
        <v>3454</v>
      </c>
      <c r="G2878" s="20" t="str">
        <f>HYPERLINK("https://semena-nn.ru/catalog/55/999000010980","Фото")</f>
        <v>Фото</v>
      </c>
      <c r="H2878" s="18">
        <v>17.7</v>
      </c>
      <c r="I2878" s="27"/>
      <c r="J2878" s="13">
        <f>H2878*I2878</f>
        <v>0</v>
      </c>
    </row>
    <row r="2879" spans="1:10" ht="12" customHeight="1">
      <c r="A2879" s="13" t="s">
        <v>5790</v>
      </c>
      <c r="B2879" s="13" t="s">
        <v>5791</v>
      </c>
      <c r="C2879" s="13" t="s">
        <v>605</v>
      </c>
      <c r="D2879" s="13" t="s">
        <v>5136</v>
      </c>
      <c r="E2879" s="13" t="s">
        <v>93</v>
      </c>
      <c r="F2879" s="13" t="s">
        <v>5792</v>
      </c>
      <c r="G2879" s="20" t="str">
        <f>HYPERLINK("https://semena-nn.ru/catalog/55/888000000793","Фото")</f>
        <v>Фото</v>
      </c>
      <c r="H2879" s="15">
        <v>40</v>
      </c>
      <c r="I2879" s="27"/>
      <c r="J2879" s="13">
        <f>H2879*I2879</f>
        <v>0</v>
      </c>
    </row>
    <row r="2880" spans="1:10" ht="12" customHeight="1">
      <c r="A2880" s="13" t="s">
        <v>6827</v>
      </c>
      <c r="B2880" s="13" t="s">
        <v>6828</v>
      </c>
      <c r="C2880" s="13" t="s">
        <v>605</v>
      </c>
      <c r="D2880" s="13" t="s">
        <v>87</v>
      </c>
      <c r="E2880" s="13" t="s">
        <v>93</v>
      </c>
      <c r="F2880" s="13" t="s">
        <v>6829</v>
      </c>
      <c r="G2880" s="20" t="str">
        <f>HYPERLINK("https://semena-nn.ru/catalog/55/1303670","Фото")</f>
        <v>Фото</v>
      </c>
      <c r="H2880" s="19">
        <v>28.35</v>
      </c>
      <c r="I2880" s="27"/>
      <c r="J2880" s="13">
        <f>H2880*I2880</f>
        <v>0</v>
      </c>
    </row>
    <row r="2881" spans="1:10" ht="12" customHeight="1">
      <c r="A2881" s="13" t="s">
        <v>6830</v>
      </c>
      <c r="B2881" s="13" t="s">
        <v>6831</v>
      </c>
      <c r="C2881" s="13" t="s">
        <v>605</v>
      </c>
      <c r="D2881" s="13" t="s">
        <v>87</v>
      </c>
      <c r="E2881" s="13" t="s">
        <v>93</v>
      </c>
      <c r="F2881" s="13" t="s">
        <v>6832</v>
      </c>
      <c r="G2881" s="20" t="str">
        <f>HYPERLINK("https://semena-nn.ru/catalog/55/1125898","Фото")</f>
        <v>Фото</v>
      </c>
      <c r="H2881" s="19">
        <v>28.35</v>
      </c>
      <c r="I2881" s="27"/>
      <c r="J2881" s="13">
        <f>H2881*I2881</f>
        <v>0</v>
      </c>
    </row>
    <row r="2882" spans="1:10" ht="12" customHeight="1">
      <c r="A2882" s="13" t="s">
        <v>6833</v>
      </c>
      <c r="B2882" s="13" t="s">
        <v>6834</v>
      </c>
      <c r="C2882" s="13" t="s">
        <v>605</v>
      </c>
      <c r="D2882" s="13" t="s">
        <v>87</v>
      </c>
      <c r="E2882" s="13" t="s">
        <v>93</v>
      </c>
      <c r="F2882" s="13" t="s">
        <v>6829</v>
      </c>
      <c r="G2882" s="20" t="str">
        <f>HYPERLINK("http://semena-nn.ru/catalog/55/1125899","Фото")</f>
        <v>Фото</v>
      </c>
      <c r="H2882" s="19">
        <v>28.35</v>
      </c>
      <c r="I2882" s="27"/>
      <c r="J2882" s="13">
        <f>H2882*I2882</f>
        <v>0</v>
      </c>
    </row>
    <row r="2883" spans="1:10" ht="12" customHeight="1">
      <c r="A2883" s="13" t="s">
        <v>6835</v>
      </c>
      <c r="B2883" s="13" t="s">
        <v>6836</v>
      </c>
      <c r="C2883" s="13" t="s">
        <v>605</v>
      </c>
      <c r="D2883" s="13" t="s">
        <v>87</v>
      </c>
      <c r="E2883" s="13" t="s">
        <v>93</v>
      </c>
      <c r="F2883" s="13" t="s">
        <v>6829</v>
      </c>
      <c r="G2883" s="20" t="str">
        <f>HYPERLINK("https://semena-nn.ru/catalog/55/1283563","Фото")</f>
        <v>Фото</v>
      </c>
      <c r="H2883" s="19">
        <v>28.35</v>
      </c>
      <c r="I2883" s="27"/>
      <c r="J2883" s="13">
        <f>H2883*I2883</f>
        <v>0</v>
      </c>
    </row>
    <row r="2884" spans="1:10" ht="12" customHeight="1">
      <c r="A2884" s="13" t="s">
        <v>6837</v>
      </c>
      <c r="B2884" s="13" t="s">
        <v>6838</v>
      </c>
      <c r="C2884" s="13" t="s">
        <v>605</v>
      </c>
      <c r="D2884" s="13" t="s">
        <v>87</v>
      </c>
      <c r="E2884" s="13" t="s">
        <v>93</v>
      </c>
      <c r="F2884" s="13" t="s">
        <v>6829</v>
      </c>
      <c r="G2884" s="20" t="str">
        <f>HYPERLINK("https://semena-nn.ru/catalog/55/1305430","Фото")</f>
        <v>Фото</v>
      </c>
      <c r="H2884" s="19">
        <v>28.35</v>
      </c>
      <c r="I2884" s="27"/>
      <c r="J2884" s="13">
        <f>H2884*I2884</f>
        <v>0</v>
      </c>
    </row>
    <row r="2885" spans="1:10" ht="12" customHeight="1">
      <c r="A2885" s="13" t="s">
        <v>6839</v>
      </c>
      <c r="B2885" s="13" t="s">
        <v>6840</v>
      </c>
      <c r="C2885" s="13" t="s">
        <v>605</v>
      </c>
      <c r="D2885" s="13" t="s">
        <v>87</v>
      </c>
      <c r="E2885" s="13" t="s">
        <v>93</v>
      </c>
      <c r="F2885" s="13" t="s">
        <v>6841</v>
      </c>
      <c r="G2885" s="20" t="str">
        <f>HYPERLINK("https://semena-nn.ru/catalog/55/1312923","Фото")</f>
        <v>Фото</v>
      </c>
      <c r="H2885" s="18">
        <v>27.3</v>
      </c>
      <c r="I2885" s="27"/>
      <c r="J2885" s="13">
        <f>H2885*I2885</f>
        <v>0</v>
      </c>
    </row>
    <row r="2886" spans="1:10" ht="12" customHeight="1">
      <c r="A2886" s="13" t="s">
        <v>6842</v>
      </c>
      <c r="B2886" s="13" t="s">
        <v>6843</v>
      </c>
      <c r="C2886" s="13" t="s">
        <v>605</v>
      </c>
      <c r="D2886" s="13" t="s">
        <v>87</v>
      </c>
      <c r="E2886" s="13" t="s">
        <v>93</v>
      </c>
      <c r="F2886" s="13" t="s">
        <v>6844</v>
      </c>
      <c r="G2886" s="20" t="str">
        <f>HYPERLINK("http://semena-nn.ru/catalog/55/999000000744","Фото")</f>
        <v>Фото</v>
      </c>
      <c r="H2886" s="18">
        <v>27.3</v>
      </c>
      <c r="I2886" s="27"/>
      <c r="J2886" s="13">
        <f>H2886*I2886</f>
        <v>0</v>
      </c>
    </row>
    <row r="2887" spans="1:10" ht="12" customHeight="1">
      <c r="A2887" s="13" t="s">
        <v>6845</v>
      </c>
      <c r="B2887" s="13" t="s">
        <v>6846</v>
      </c>
      <c r="C2887" s="13" t="s">
        <v>605</v>
      </c>
      <c r="D2887" s="13" t="s">
        <v>87</v>
      </c>
      <c r="E2887" s="13" t="s">
        <v>93</v>
      </c>
      <c r="F2887" s="13" t="s">
        <v>6847</v>
      </c>
      <c r="G2887" s="20" t="str">
        <f>HYPERLINK("https://semena-nn.ru/catalog/55/1312924","Фото")</f>
        <v>Фото</v>
      </c>
      <c r="H2887" s="18">
        <v>27.3</v>
      </c>
      <c r="I2887" s="27"/>
      <c r="J2887" s="13">
        <f>H2887*I2887</f>
        <v>0</v>
      </c>
    </row>
    <row r="2888" spans="1:10" ht="12" customHeight="1">
      <c r="A2888" s="13" t="s">
        <v>6848</v>
      </c>
      <c r="B2888" s="13" t="s">
        <v>6849</v>
      </c>
      <c r="C2888" s="13" t="s">
        <v>605</v>
      </c>
      <c r="D2888" s="13" t="s">
        <v>87</v>
      </c>
      <c r="E2888" s="13" t="s">
        <v>93</v>
      </c>
      <c r="F2888" s="13" t="s">
        <v>6850</v>
      </c>
      <c r="G2888" s="20" t="str">
        <f>HYPERLINK("https://semena-nn.ru/catalog/55/96199","Фото")</f>
        <v>Фото</v>
      </c>
      <c r="H2888" s="18">
        <v>19.5</v>
      </c>
      <c r="I2888" s="27"/>
      <c r="J2888" s="13">
        <f>H2888*I2888</f>
        <v>0</v>
      </c>
    </row>
    <row r="2889" spans="1:10" ht="12" customHeight="1">
      <c r="A2889" s="13" t="s">
        <v>4884</v>
      </c>
      <c r="B2889" s="13" t="s">
        <v>4885</v>
      </c>
      <c r="C2889" s="13" t="s">
        <v>605</v>
      </c>
      <c r="D2889" s="13" t="s">
        <v>3475</v>
      </c>
      <c r="E2889" s="13" t="s">
        <v>93</v>
      </c>
      <c r="F2889" s="13" t="s">
        <v>4886</v>
      </c>
      <c r="G2889" s="20" t="str">
        <f>HYPERLINK("http://semena-nn.ru/catalog/55/1304980","Фото")</f>
        <v>Фото</v>
      </c>
      <c r="H2889" s="18">
        <v>18.7</v>
      </c>
      <c r="I2889" s="27"/>
      <c r="J2889" s="13">
        <f>H2889*I2889</f>
        <v>0</v>
      </c>
    </row>
    <row r="2890" spans="1:10" ht="12" customHeight="1">
      <c r="A2890" s="13" t="s">
        <v>6851</v>
      </c>
      <c r="B2890" s="13" t="s">
        <v>6852</v>
      </c>
      <c r="C2890" s="13" t="s">
        <v>605</v>
      </c>
      <c r="D2890" s="13" t="s">
        <v>87</v>
      </c>
      <c r="E2890" s="13" t="s">
        <v>93</v>
      </c>
      <c r="F2890" s="13" t="s">
        <v>6853</v>
      </c>
      <c r="G2890" s="20" t="str">
        <f>HYPERLINK("https://semena-nn.ru/catalog/55/999000020526","Фото")</f>
        <v>Фото</v>
      </c>
      <c r="H2890" s="15">
        <v>21</v>
      </c>
      <c r="I2890" s="27"/>
      <c r="J2890" s="13">
        <f>H2890*I2890</f>
        <v>0</v>
      </c>
    </row>
    <row r="2891" spans="1:10" ht="12" customHeight="1">
      <c r="A2891" s="13" t="s">
        <v>6854</v>
      </c>
      <c r="B2891" s="13" t="s">
        <v>6855</v>
      </c>
      <c r="C2891" s="13" t="s">
        <v>605</v>
      </c>
      <c r="D2891" s="13" t="s">
        <v>87</v>
      </c>
      <c r="E2891" s="13" t="s">
        <v>93</v>
      </c>
      <c r="F2891" s="13" t="s">
        <v>6856</v>
      </c>
      <c r="G2891" s="20" t="str">
        <f>HYPERLINK("https://semena-nn.ru/catalog/55/1299963","Фото")</f>
        <v>Фото</v>
      </c>
      <c r="H2891" s="18">
        <v>19.5</v>
      </c>
      <c r="I2891" s="27"/>
      <c r="J2891" s="13">
        <f>H2891*I2891</f>
        <v>0</v>
      </c>
    </row>
    <row r="2892" spans="1:10" ht="12" customHeight="1">
      <c r="A2892" s="13" t="s">
        <v>2544</v>
      </c>
      <c r="B2892" s="13" t="s">
        <v>2545</v>
      </c>
      <c r="C2892" s="13" t="s">
        <v>671</v>
      </c>
      <c r="D2892" s="13" t="s">
        <v>697</v>
      </c>
      <c r="E2892" s="13" t="s">
        <v>93</v>
      </c>
      <c r="F2892" s="13" t="s">
        <v>2546</v>
      </c>
      <c r="G2892" s="20" t="str">
        <f>HYPERLINK("https://semena-nn.ru/catalog/56/108940","Фото")</f>
        <v>Фото</v>
      </c>
      <c r="H2892" s="18">
        <v>21.1</v>
      </c>
      <c r="I2892" s="27"/>
      <c r="J2892" s="13">
        <f>H2892*I2892</f>
        <v>0</v>
      </c>
    </row>
    <row r="2893" spans="1:10" ht="12" customHeight="1">
      <c r="A2893" s="13" t="s">
        <v>5793</v>
      </c>
      <c r="B2893" s="13" t="s">
        <v>5794</v>
      </c>
      <c r="C2893" s="13" t="s">
        <v>624</v>
      </c>
      <c r="D2893" s="13" t="s">
        <v>5136</v>
      </c>
      <c r="E2893" s="13" t="s">
        <v>93</v>
      </c>
      <c r="F2893" s="13" t="s">
        <v>5795</v>
      </c>
      <c r="G2893" s="20" t="str">
        <f>HYPERLINK("https://semena-nn.ru/catalog/57/888000000794","Фото")</f>
        <v>Фото</v>
      </c>
      <c r="H2893" s="18">
        <v>76.8</v>
      </c>
      <c r="I2893" s="27"/>
      <c r="J2893" s="13">
        <f>H2893*I2893</f>
        <v>0</v>
      </c>
    </row>
    <row r="2894" spans="1:10" ht="12" customHeight="1">
      <c r="A2894" s="13" t="s">
        <v>3455</v>
      </c>
      <c r="B2894" s="13" t="s">
        <v>3456</v>
      </c>
      <c r="C2894" s="13" t="s">
        <v>671</v>
      </c>
      <c r="D2894" s="13" t="s">
        <v>697</v>
      </c>
      <c r="E2894" s="13" t="s">
        <v>3064</v>
      </c>
      <c r="F2894" s="13" t="s">
        <v>3457</v>
      </c>
      <c r="G2894" s="20" t="str">
        <f>HYPERLINK("https://semena-nn.ru/catalog/56/999000010981","Фото")</f>
        <v>Фото</v>
      </c>
      <c r="H2894" s="19">
        <v>12.65</v>
      </c>
      <c r="I2894" s="27"/>
      <c r="J2894" s="13">
        <f>H2894*I2894</f>
        <v>0</v>
      </c>
    </row>
    <row r="2895" spans="1:10" ht="12" customHeight="1">
      <c r="A2895" s="13" t="s">
        <v>5004</v>
      </c>
      <c r="B2895" s="13" t="s">
        <v>5005</v>
      </c>
      <c r="C2895" s="13" t="s">
        <v>605</v>
      </c>
      <c r="D2895" s="13" t="s">
        <v>3475</v>
      </c>
      <c r="E2895" s="13" t="s">
        <v>2636</v>
      </c>
      <c r="F2895" s="13" t="s">
        <v>5006</v>
      </c>
      <c r="G2895" s="20" t="str">
        <f>HYPERLINK("https://semena-nn.ru/catalog/55/888000000410","Фото")</f>
        <v>Фото</v>
      </c>
      <c r="H2895" s="19">
        <v>7.21</v>
      </c>
      <c r="I2895" s="27"/>
      <c r="J2895" s="13">
        <f>H2895*I2895</f>
        <v>0</v>
      </c>
    </row>
    <row r="2896" spans="1:10" ht="12" customHeight="1">
      <c r="A2896" s="13" t="s">
        <v>2547</v>
      </c>
      <c r="B2896" s="13" t="s">
        <v>2548</v>
      </c>
      <c r="C2896" s="13" t="s">
        <v>605</v>
      </c>
      <c r="D2896" s="13" t="s">
        <v>697</v>
      </c>
      <c r="E2896" s="13" t="s">
        <v>93</v>
      </c>
      <c r="F2896" s="13" t="s">
        <v>2549</v>
      </c>
      <c r="G2896" s="20" t="str">
        <f>HYPERLINK("https://semena-nn.ru/catalog/55/1125721","Фото")</f>
        <v>Фото</v>
      </c>
      <c r="H2896" s="18">
        <v>21.2</v>
      </c>
      <c r="I2896" s="27"/>
      <c r="J2896" s="13">
        <f>H2896*I2896</f>
        <v>0</v>
      </c>
    </row>
    <row r="2897" spans="1:10" ht="12" customHeight="1">
      <c r="A2897" s="13" t="s">
        <v>6424</v>
      </c>
      <c r="B2897" s="13" t="s">
        <v>6425</v>
      </c>
      <c r="C2897" s="13" t="s">
        <v>671</v>
      </c>
      <c r="D2897" s="13" t="s">
        <v>6407</v>
      </c>
      <c r="E2897" s="13" t="s">
        <v>93</v>
      </c>
      <c r="F2897" s="13" t="s">
        <v>6426</v>
      </c>
      <c r="G2897" s="20" t="str">
        <f>HYPERLINK("https://semena-nn.ru/catalog/56/108504","Фото")</f>
        <v>Фото</v>
      </c>
      <c r="H2897" s="18">
        <v>32.5</v>
      </c>
      <c r="I2897" s="27"/>
      <c r="J2897" s="13">
        <f>H2897*I2897</f>
        <v>0</v>
      </c>
    </row>
    <row r="2898" spans="1:10" ht="12" customHeight="1">
      <c r="A2898" s="13" t="s">
        <v>4887</v>
      </c>
      <c r="B2898" s="13" t="s">
        <v>4888</v>
      </c>
      <c r="C2898" s="13" t="s">
        <v>605</v>
      </c>
      <c r="D2898" s="13" t="s">
        <v>3475</v>
      </c>
      <c r="E2898" s="13" t="s">
        <v>93</v>
      </c>
      <c r="F2898" s="13" t="s">
        <v>4889</v>
      </c>
      <c r="G2898" s="20" t="str">
        <f>HYPERLINK("https://semena-nn.ru/catalog/55/1288398","Фото")</f>
        <v>Фото</v>
      </c>
      <c r="H2898" s="18">
        <v>18.7</v>
      </c>
      <c r="I2898" s="27"/>
      <c r="J2898" s="13">
        <f>H2898*I2898</f>
        <v>0</v>
      </c>
    </row>
    <row r="2899" spans="1:10" ht="12" customHeight="1">
      <c r="A2899" s="13" t="s">
        <v>4890</v>
      </c>
      <c r="B2899" s="13" t="s">
        <v>4891</v>
      </c>
      <c r="C2899" s="13" t="s">
        <v>605</v>
      </c>
      <c r="D2899" s="13" t="s">
        <v>3475</v>
      </c>
      <c r="E2899" s="13" t="s">
        <v>93</v>
      </c>
      <c r="F2899" s="13" t="s">
        <v>4892</v>
      </c>
      <c r="G2899" s="20" t="str">
        <f>HYPERLINK("https://semena-nn.ru/catalog/55/1303158","Фото")</f>
        <v>Фото</v>
      </c>
      <c r="H2899" s="18">
        <v>18.7</v>
      </c>
      <c r="I2899" s="27"/>
      <c r="J2899" s="13">
        <f>H2899*I2899</f>
        <v>0</v>
      </c>
    </row>
    <row r="2900" spans="1:10" ht="12" customHeight="1">
      <c r="A2900" s="13" t="s">
        <v>5796</v>
      </c>
      <c r="B2900" s="13" t="s">
        <v>5797</v>
      </c>
      <c r="C2900" s="13" t="s">
        <v>671</v>
      </c>
      <c r="D2900" s="13" t="s">
        <v>5136</v>
      </c>
      <c r="E2900" s="13" t="s">
        <v>93</v>
      </c>
      <c r="F2900" s="13" t="s">
        <v>5798</v>
      </c>
      <c r="G2900" s="20" t="str">
        <f>HYPERLINK("https://semena-nn.ru/catalog/56/888000000795","Фото")</f>
        <v>Фото</v>
      </c>
      <c r="H2900" s="15">
        <v>56</v>
      </c>
      <c r="I2900" s="27"/>
      <c r="J2900" s="13">
        <f>H2900*I2900</f>
        <v>0</v>
      </c>
    </row>
    <row r="2901" spans="1:10" ht="12" customHeight="1">
      <c r="A2901" s="13" t="s">
        <v>5799</v>
      </c>
      <c r="B2901" s="13" t="s">
        <v>5800</v>
      </c>
      <c r="C2901" s="13" t="s">
        <v>671</v>
      </c>
      <c r="D2901" s="13" t="s">
        <v>5136</v>
      </c>
      <c r="E2901" s="13" t="s">
        <v>93</v>
      </c>
      <c r="F2901" s="13" t="s">
        <v>5801</v>
      </c>
      <c r="G2901" s="20" t="str">
        <f>HYPERLINK("https://semena-nn.ru/catalog/56/888000000080","Фото")</f>
        <v>Фото</v>
      </c>
      <c r="H2901" s="15">
        <v>50</v>
      </c>
      <c r="I2901" s="27"/>
      <c r="J2901" s="13">
        <f>H2901*I2901</f>
        <v>0</v>
      </c>
    </row>
    <row r="2902" spans="1:10" ht="12" customHeight="1">
      <c r="A2902" s="13" t="s">
        <v>3458</v>
      </c>
      <c r="B2902" s="13" t="s">
        <v>3459</v>
      </c>
      <c r="C2902" s="13" t="s">
        <v>605</v>
      </c>
      <c r="D2902" s="13" t="s">
        <v>697</v>
      </c>
      <c r="E2902" s="13" t="s">
        <v>3064</v>
      </c>
      <c r="F2902" s="13" t="s">
        <v>3460</v>
      </c>
      <c r="G2902" s="20" t="str">
        <f>HYPERLINK("https://semena-nn.ru/catalog/55/999000010983","Фото")</f>
        <v>Фото</v>
      </c>
      <c r="H2902" s="18">
        <v>17.2</v>
      </c>
      <c r="I2902" s="27"/>
      <c r="J2902" s="13">
        <f>H2902*I2902</f>
        <v>0</v>
      </c>
    </row>
    <row r="2903" spans="1:10" ht="12" customHeight="1">
      <c r="A2903" s="13" t="s">
        <v>6857</v>
      </c>
      <c r="B2903" s="13" t="s">
        <v>6858</v>
      </c>
      <c r="C2903" s="13" t="s">
        <v>671</v>
      </c>
      <c r="D2903" s="13" t="s">
        <v>87</v>
      </c>
      <c r="E2903" s="13" t="s">
        <v>93</v>
      </c>
      <c r="F2903" s="13" t="s">
        <v>6859</v>
      </c>
      <c r="G2903" s="20" t="str">
        <f>HYPERLINK("http://semena-nn.ru/catalog/56/1282734","Фото")</f>
        <v>Фото</v>
      </c>
      <c r="H2903" s="18">
        <v>27.3</v>
      </c>
      <c r="I2903" s="27"/>
      <c r="J2903" s="13">
        <f>H2903*I2903</f>
        <v>0</v>
      </c>
    </row>
    <row r="2904" spans="1:10" ht="12" customHeight="1">
      <c r="A2904" s="13" t="s">
        <v>6860</v>
      </c>
      <c r="B2904" s="13" t="s">
        <v>6861</v>
      </c>
      <c r="C2904" s="13" t="s">
        <v>671</v>
      </c>
      <c r="D2904" s="13" t="s">
        <v>87</v>
      </c>
      <c r="E2904" s="13" t="s">
        <v>93</v>
      </c>
      <c r="F2904" s="13" t="s">
        <v>6862</v>
      </c>
      <c r="G2904" s="20" t="str">
        <f>HYPERLINK("https://semena-nn.ru/catalog/56/106651","Фото")</f>
        <v>Фото</v>
      </c>
      <c r="H2904" s="18">
        <v>29.4</v>
      </c>
      <c r="I2904" s="27"/>
      <c r="J2904" s="13">
        <f>H2904*I2904</f>
        <v>0</v>
      </c>
    </row>
    <row r="2905" spans="1:10" ht="12" customHeight="1">
      <c r="A2905" s="13" t="s">
        <v>5802</v>
      </c>
      <c r="B2905" s="13" t="s">
        <v>5803</v>
      </c>
      <c r="C2905" s="13" t="s">
        <v>605</v>
      </c>
      <c r="D2905" s="13" t="s">
        <v>5136</v>
      </c>
      <c r="E2905" s="13" t="s">
        <v>93</v>
      </c>
      <c r="F2905" s="13" t="s">
        <v>5804</v>
      </c>
      <c r="G2905" s="20" t="str">
        <f>HYPERLINK("https://semena-nn.ru/catalog/55/888000000796","Фото")</f>
        <v>Фото</v>
      </c>
      <c r="H2905" s="15">
        <v>46</v>
      </c>
      <c r="I2905" s="27"/>
      <c r="J2905" s="13">
        <f>H2905*I2905</f>
        <v>0</v>
      </c>
    </row>
    <row r="2906" spans="1:10" ht="12" customHeight="1">
      <c r="A2906" s="13" t="s">
        <v>5805</v>
      </c>
      <c r="B2906" s="13" t="s">
        <v>5806</v>
      </c>
      <c r="C2906" s="13" t="s">
        <v>605</v>
      </c>
      <c r="D2906" s="13" t="s">
        <v>5136</v>
      </c>
      <c r="E2906" s="13" t="s">
        <v>93</v>
      </c>
      <c r="F2906" s="13" t="s">
        <v>5804</v>
      </c>
      <c r="G2906" s="20" t="str">
        <f>HYPERLINK("https://semena-nn.ru/catalog/55/888000000797","Фото")</f>
        <v>Фото</v>
      </c>
      <c r="H2906" s="15">
        <v>45</v>
      </c>
      <c r="I2906" s="27"/>
      <c r="J2906" s="13">
        <f>H2906*I2906</f>
        <v>0</v>
      </c>
    </row>
    <row r="2907" spans="1:10" ht="12" customHeight="1">
      <c r="A2907" s="13" t="s">
        <v>5807</v>
      </c>
      <c r="B2907" s="13" t="s">
        <v>5808</v>
      </c>
      <c r="C2907" s="13" t="s">
        <v>605</v>
      </c>
      <c r="D2907" s="13" t="s">
        <v>5136</v>
      </c>
      <c r="E2907" s="13" t="s">
        <v>93</v>
      </c>
      <c r="F2907" s="13" t="s">
        <v>5804</v>
      </c>
      <c r="G2907" s="20" t="str">
        <f>HYPERLINK("https://semena-nn.ru/catalog/55/888000000798","Фото")</f>
        <v>Фото</v>
      </c>
      <c r="H2907" s="15">
        <v>45</v>
      </c>
      <c r="I2907" s="27"/>
      <c r="J2907" s="13">
        <f>H2907*I2907</f>
        <v>0</v>
      </c>
    </row>
    <row r="2908" spans="1:10" ht="12" customHeight="1">
      <c r="A2908" s="13" t="s">
        <v>5809</v>
      </c>
      <c r="B2908" s="13" t="s">
        <v>5810</v>
      </c>
      <c r="C2908" s="13" t="s">
        <v>605</v>
      </c>
      <c r="D2908" s="13" t="s">
        <v>5136</v>
      </c>
      <c r="E2908" s="13" t="s">
        <v>93</v>
      </c>
      <c r="F2908" s="13" t="s">
        <v>5804</v>
      </c>
      <c r="G2908" s="20" t="str">
        <f>HYPERLINK("https://semena-nn.ru/catalog/55/888000000799","Фото")</f>
        <v>Фото</v>
      </c>
      <c r="H2908" s="15">
        <v>45</v>
      </c>
      <c r="I2908" s="27"/>
      <c r="J2908" s="13">
        <f>H2908*I2908</f>
        <v>0</v>
      </c>
    </row>
    <row r="2909" spans="1:10" ht="12" customHeight="1">
      <c r="A2909" s="13" t="s">
        <v>4893</v>
      </c>
      <c r="B2909" s="13" t="s">
        <v>4894</v>
      </c>
      <c r="C2909" s="13" t="s">
        <v>605</v>
      </c>
      <c r="D2909" s="13" t="s">
        <v>3475</v>
      </c>
      <c r="E2909" s="13" t="s">
        <v>93</v>
      </c>
      <c r="F2909" s="13" t="s">
        <v>4895</v>
      </c>
      <c r="G2909" s="20" t="str">
        <f>HYPERLINK("https://semena-nn.ru/catalog/55/999000011425","Фото")</f>
        <v>Фото</v>
      </c>
      <c r="H2909" s="18">
        <v>41.9</v>
      </c>
      <c r="I2909" s="27"/>
      <c r="J2909" s="13">
        <f>H2909*I2909</f>
        <v>0</v>
      </c>
    </row>
    <row r="2910" spans="1:10" ht="12" customHeight="1">
      <c r="A2910" s="13" t="s">
        <v>4896</v>
      </c>
      <c r="B2910" s="13" t="s">
        <v>4897</v>
      </c>
      <c r="C2910" s="13" t="s">
        <v>605</v>
      </c>
      <c r="D2910" s="13" t="s">
        <v>3475</v>
      </c>
      <c r="E2910" s="13" t="s">
        <v>93</v>
      </c>
      <c r="F2910" s="13" t="s">
        <v>4898</v>
      </c>
      <c r="G2910" s="20" t="str">
        <f>HYPERLINK("http://semena-nn.ru/catalog/55/1288400","Фото")</f>
        <v>Фото</v>
      </c>
      <c r="H2910" s="18">
        <v>18.7</v>
      </c>
      <c r="I2910" s="27"/>
      <c r="J2910" s="13">
        <f>H2910*I2910</f>
        <v>0</v>
      </c>
    </row>
    <row r="2911" spans="1:10" ht="12" customHeight="1">
      <c r="A2911" s="13" t="s">
        <v>2550</v>
      </c>
      <c r="B2911" s="13" t="s">
        <v>2551</v>
      </c>
      <c r="C2911" s="13" t="s">
        <v>624</v>
      </c>
      <c r="D2911" s="13" t="s">
        <v>697</v>
      </c>
      <c r="E2911" s="13" t="s">
        <v>93</v>
      </c>
      <c r="F2911" s="13" t="s">
        <v>2552</v>
      </c>
      <c r="G2911" s="20" t="str">
        <f>HYPERLINK("https://semena-nn.ru/catalog/57/98157","Фото")</f>
        <v>Фото</v>
      </c>
      <c r="H2911" s="19">
        <v>34.549999999999997</v>
      </c>
      <c r="I2911" s="27"/>
      <c r="J2911" s="13">
        <f>H2911*I2911</f>
        <v>0</v>
      </c>
    </row>
    <row r="2912" spans="1:10" ht="12" customHeight="1">
      <c r="A2912" s="13" t="s">
        <v>4899</v>
      </c>
      <c r="B2912" s="13" t="s">
        <v>4900</v>
      </c>
      <c r="C2912" s="13" t="s">
        <v>605</v>
      </c>
      <c r="D2912" s="13" t="s">
        <v>3475</v>
      </c>
      <c r="E2912" s="13" t="s">
        <v>93</v>
      </c>
      <c r="F2912" s="13" t="s">
        <v>4901</v>
      </c>
      <c r="G2912" s="20" t="str">
        <f>HYPERLINK("https://semena-nn.ru/catalog/55/113427","Фото")</f>
        <v>Фото</v>
      </c>
      <c r="H2912" s="18">
        <v>18.7</v>
      </c>
      <c r="I2912" s="27"/>
      <c r="J2912" s="13">
        <f>H2912*I2912</f>
        <v>0</v>
      </c>
    </row>
    <row r="2913" spans="1:10" ht="12" customHeight="1">
      <c r="A2913" s="13" t="s">
        <v>2553</v>
      </c>
      <c r="B2913" s="13" t="s">
        <v>2554</v>
      </c>
      <c r="C2913" s="13" t="s">
        <v>605</v>
      </c>
      <c r="D2913" s="13" t="s">
        <v>697</v>
      </c>
      <c r="E2913" s="13" t="s">
        <v>93</v>
      </c>
      <c r="F2913" s="13" t="s">
        <v>2555</v>
      </c>
      <c r="G2913" s="20" t="str">
        <f>HYPERLINK("http://semena-nn.ru/catalog/55/1284698","Фото")</f>
        <v>Фото</v>
      </c>
      <c r="H2913" s="18">
        <v>21.6</v>
      </c>
      <c r="I2913" s="27"/>
      <c r="J2913" s="13">
        <f>H2913*I2913</f>
        <v>0</v>
      </c>
    </row>
    <row r="2914" spans="1:10" ht="12" customHeight="1">
      <c r="A2914" s="13" t="s">
        <v>6375</v>
      </c>
      <c r="B2914" s="13" t="s">
        <v>6376</v>
      </c>
      <c r="C2914" s="13" t="s">
        <v>605</v>
      </c>
      <c r="D2914" s="13" t="s">
        <v>6295</v>
      </c>
      <c r="E2914" s="13" t="s">
        <v>93</v>
      </c>
      <c r="F2914" s="13" t="s">
        <v>6377</v>
      </c>
      <c r="G2914" s="20" t="str">
        <f>HYPERLINK("https://semena-nn.ru/catalog/55/999000019848","Фото")</f>
        <v>Фото</v>
      </c>
      <c r="H2914" s="15">
        <v>189</v>
      </c>
      <c r="I2914" s="27"/>
      <c r="J2914" s="13">
        <f>H2914*I2914</f>
        <v>0</v>
      </c>
    </row>
    <row r="2915" spans="1:10" ht="12" customHeight="1">
      <c r="A2915" s="13" t="s">
        <v>6863</v>
      </c>
      <c r="B2915" s="13" t="s">
        <v>6864</v>
      </c>
      <c r="C2915" s="13" t="s">
        <v>605</v>
      </c>
      <c r="D2915" s="13" t="s">
        <v>87</v>
      </c>
      <c r="E2915" s="13" t="s">
        <v>93</v>
      </c>
      <c r="F2915" s="13" t="s">
        <v>6865</v>
      </c>
      <c r="G2915" s="20" t="str">
        <f>HYPERLINK("https://semena-nn.ru/catalog/55/101930","Фото")</f>
        <v>Фото</v>
      </c>
      <c r="H2915" s="18">
        <v>19.5</v>
      </c>
      <c r="I2915" s="27"/>
      <c r="J2915" s="13">
        <f>H2915*I2915</f>
        <v>0</v>
      </c>
    </row>
    <row r="2916" spans="1:10" ht="12" customHeight="1">
      <c r="A2916" s="13" t="s">
        <v>2556</v>
      </c>
      <c r="B2916" s="13" t="s">
        <v>2557</v>
      </c>
      <c r="C2916" s="13" t="s">
        <v>605</v>
      </c>
      <c r="D2916" s="13" t="s">
        <v>697</v>
      </c>
      <c r="E2916" s="13" t="s">
        <v>93</v>
      </c>
      <c r="F2916" s="13" t="s">
        <v>2558</v>
      </c>
      <c r="G2916" s="20" t="str">
        <f>HYPERLINK("https://semena-nn.ru/catalog/55/1118338","Фото")</f>
        <v>Фото</v>
      </c>
      <c r="H2916" s="18">
        <v>22.2</v>
      </c>
      <c r="I2916" s="27"/>
      <c r="J2916" s="13">
        <f>H2916*I2916</f>
        <v>0</v>
      </c>
    </row>
    <row r="2917" spans="1:10" ht="12" customHeight="1">
      <c r="A2917" s="13" t="s">
        <v>4902</v>
      </c>
      <c r="B2917" s="13" t="s">
        <v>4903</v>
      </c>
      <c r="C2917" s="13" t="s">
        <v>605</v>
      </c>
      <c r="D2917" s="13" t="s">
        <v>3475</v>
      </c>
      <c r="E2917" s="13" t="s">
        <v>93</v>
      </c>
      <c r="F2917" s="13" t="s">
        <v>4904</v>
      </c>
      <c r="G2917" s="20" t="str">
        <f>HYPERLINK("http://semena-nn.ru/catalog/55/999000001773","Фото")</f>
        <v>Фото</v>
      </c>
      <c r="H2917" s="19">
        <v>20.95</v>
      </c>
      <c r="I2917" s="27"/>
      <c r="J2917" s="13">
        <f>H2917*I2917</f>
        <v>0</v>
      </c>
    </row>
    <row r="2918" spans="1:10" ht="12" customHeight="1">
      <c r="A2918" s="13" t="s">
        <v>4905</v>
      </c>
      <c r="B2918" s="13" t="s">
        <v>4906</v>
      </c>
      <c r="C2918" s="13" t="s">
        <v>605</v>
      </c>
      <c r="D2918" s="13" t="s">
        <v>3475</v>
      </c>
      <c r="E2918" s="13" t="s">
        <v>93</v>
      </c>
      <c r="F2918" s="13" t="s">
        <v>4907</v>
      </c>
      <c r="G2918" s="20" t="str">
        <f>HYPERLINK("http://semena-nn.ru/catalog/55/1114317","Фото")</f>
        <v>Фото</v>
      </c>
      <c r="H2918" s="19">
        <v>20.95</v>
      </c>
      <c r="I2918" s="27"/>
      <c r="J2918" s="13">
        <f>H2918*I2918</f>
        <v>0</v>
      </c>
    </row>
    <row r="2919" spans="1:10" ht="12" customHeight="1">
      <c r="A2919" s="13" t="s">
        <v>4908</v>
      </c>
      <c r="B2919" s="13" t="s">
        <v>4909</v>
      </c>
      <c r="C2919" s="13" t="s">
        <v>605</v>
      </c>
      <c r="D2919" s="13" t="s">
        <v>3475</v>
      </c>
      <c r="E2919" s="13" t="s">
        <v>93</v>
      </c>
      <c r="F2919" s="13" t="s">
        <v>4910</v>
      </c>
      <c r="G2919" s="20" t="str">
        <f>HYPERLINK("https://semena-nn.ru/catalog/55/999000002071","Фото")</f>
        <v>Фото</v>
      </c>
      <c r="H2919" s="19">
        <v>20.95</v>
      </c>
      <c r="I2919" s="27"/>
      <c r="J2919" s="13">
        <f>H2919*I2919</f>
        <v>0</v>
      </c>
    </row>
    <row r="2920" spans="1:10" ht="12" customHeight="1">
      <c r="A2920" s="13" t="s">
        <v>4911</v>
      </c>
      <c r="B2920" s="13" t="s">
        <v>4912</v>
      </c>
      <c r="C2920" s="13" t="s">
        <v>605</v>
      </c>
      <c r="D2920" s="13" t="s">
        <v>3475</v>
      </c>
      <c r="E2920" s="13" t="s">
        <v>93</v>
      </c>
      <c r="F2920" s="13" t="s">
        <v>4913</v>
      </c>
      <c r="G2920" s="20" t="str">
        <f>HYPERLINK("http://semena-nn.ru/catalog/55/1126753","Фото")</f>
        <v>Фото</v>
      </c>
      <c r="H2920" s="19">
        <v>20.95</v>
      </c>
      <c r="I2920" s="27"/>
      <c r="J2920" s="13">
        <f>H2920*I2920</f>
        <v>0</v>
      </c>
    </row>
    <row r="2921" spans="1:10" ht="12" customHeight="1">
      <c r="A2921" s="13" t="s">
        <v>6378</v>
      </c>
      <c r="B2921" s="13" t="s">
        <v>6379</v>
      </c>
      <c r="C2921" s="13" t="s">
        <v>605</v>
      </c>
      <c r="D2921" s="13" t="s">
        <v>6295</v>
      </c>
      <c r="E2921" s="13" t="s">
        <v>93</v>
      </c>
      <c r="F2921" s="13" t="s">
        <v>6380</v>
      </c>
      <c r="G2921" s="20" t="str">
        <f>HYPERLINK("https://semena-nn.ru/catalog/55/999000020725","Фото")</f>
        <v>Фото</v>
      </c>
      <c r="H2921" s="15">
        <v>210</v>
      </c>
      <c r="I2921" s="27"/>
      <c r="J2921" s="13">
        <f>H2921*I2921</f>
        <v>0</v>
      </c>
    </row>
    <row r="2922" spans="1:10" ht="12" customHeight="1">
      <c r="A2922" s="13" t="s">
        <v>6381</v>
      </c>
      <c r="B2922" s="13" t="s">
        <v>6382</v>
      </c>
      <c r="C2922" s="13" t="s">
        <v>605</v>
      </c>
      <c r="D2922" s="13" t="s">
        <v>6295</v>
      </c>
      <c r="E2922" s="13" t="s">
        <v>93</v>
      </c>
      <c r="F2922" s="13" t="s">
        <v>6383</v>
      </c>
      <c r="G2922" s="20" t="str">
        <f>HYPERLINK("https://semena-nn.ru/catalog/55/999000009029","Фото")</f>
        <v>Фото</v>
      </c>
      <c r="H2922" s="15">
        <v>189</v>
      </c>
      <c r="I2922" s="27"/>
      <c r="J2922" s="13">
        <f>H2922*I2922</f>
        <v>0</v>
      </c>
    </row>
    <row r="2923" spans="1:10" ht="12" customHeight="1">
      <c r="A2923" s="13" t="s">
        <v>6384</v>
      </c>
      <c r="B2923" s="13" t="s">
        <v>6385</v>
      </c>
      <c r="C2923" s="13" t="s">
        <v>605</v>
      </c>
      <c r="D2923" s="13" t="s">
        <v>6295</v>
      </c>
      <c r="E2923" s="13" t="s">
        <v>93</v>
      </c>
      <c r="F2923" s="13" t="s">
        <v>6386</v>
      </c>
      <c r="G2923" s="20" t="str">
        <f>HYPERLINK("https://semena-nn.ru/catalog/55/999000020650","Фото")</f>
        <v>Фото</v>
      </c>
      <c r="H2923" s="18">
        <v>199.5</v>
      </c>
      <c r="I2923" s="27"/>
      <c r="J2923" s="13">
        <f>H2923*I2923</f>
        <v>0</v>
      </c>
    </row>
    <row r="2924" spans="1:10" ht="12" customHeight="1">
      <c r="A2924" s="13" t="s">
        <v>2559</v>
      </c>
      <c r="B2924" s="13" t="s">
        <v>2560</v>
      </c>
      <c r="C2924" s="13" t="s">
        <v>605</v>
      </c>
      <c r="D2924" s="13" t="s">
        <v>697</v>
      </c>
      <c r="E2924" s="13" t="s">
        <v>93</v>
      </c>
      <c r="F2924" s="13" t="s">
        <v>2561</v>
      </c>
      <c r="G2924" s="20" t="str">
        <f>HYPERLINK("https://semena-nn.ru/catalog/55/1125723","Фото")</f>
        <v>Фото</v>
      </c>
      <c r="H2924" s="18">
        <v>20.5</v>
      </c>
      <c r="I2924" s="27"/>
      <c r="J2924" s="13">
        <f>H2924*I2924</f>
        <v>0</v>
      </c>
    </row>
    <row r="2925" spans="1:10" ht="12" customHeight="1">
      <c r="A2925" s="13" t="s">
        <v>4914</v>
      </c>
      <c r="B2925" s="13" t="s">
        <v>4915</v>
      </c>
      <c r="C2925" s="13" t="s">
        <v>605</v>
      </c>
      <c r="D2925" s="13" t="s">
        <v>3475</v>
      </c>
      <c r="E2925" s="13" t="s">
        <v>93</v>
      </c>
      <c r="F2925" s="13" t="s">
        <v>4916</v>
      </c>
      <c r="G2925" s="20" t="str">
        <f>HYPERLINK("https://semena-nn.ru/catalog/55/1302367","Фото")</f>
        <v>Фото</v>
      </c>
      <c r="H2925" s="18">
        <v>18.7</v>
      </c>
      <c r="I2925" s="27"/>
      <c r="J2925" s="13">
        <f>H2925*I2925</f>
        <v>0</v>
      </c>
    </row>
    <row r="2926" spans="1:10" ht="12" customHeight="1">
      <c r="A2926" s="13" t="s">
        <v>4917</v>
      </c>
      <c r="B2926" s="13" t="s">
        <v>4918</v>
      </c>
      <c r="C2926" s="13" t="s">
        <v>605</v>
      </c>
      <c r="D2926" s="13" t="s">
        <v>3475</v>
      </c>
      <c r="E2926" s="13" t="s">
        <v>93</v>
      </c>
      <c r="F2926" s="13" t="s">
        <v>4919</v>
      </c>
      <c r="G2926" s="20" t="str">
        <f>HYPERLINK("https://semena-nn.ru/catalog/55/1288404","Фото")</f>
        <v>Фото</v>
      </c>
      <c r="H2926" s="18">
        <v>18.7</v>
      </c>
      <c r="I2926" s="27"/>
      <c r="J2926" s="13">
        <f>H2926*I2926</f>
        <v>0</v>
      </c>
    </row>
    <row r="2927" spans="1:10" ht="12" customHeight="1">
      <c r="A2927" s="13" t="s">
        <v>4920</v>
      </c>
      <c r="B2927" s="13" t="s">
        <v>4921</v>
      </c>
      <c r="C2927" s="13" t="s">
        <v>605</v>
      </c>
      <c r="D2927" s="13" t="s">
        <v>3475</v>
      </c>
      <c r="E2927" s="13" t="s">
        <v>93</v>
      </c>
      <c r="F2927" s="13" t="s">
        <v>4922</v>
      </c>
      <c r="G2927" s="20" t="str">
        <f>HYPERLINK("https://semena-nn.ru/catalog/55/1290724","Фото")</f>
        <v>Фото</v>
      </c>
      <c r="H2927" s="18">
        <v>18.7</v>
      </c>
      <c r="I2927" s="27"/>
      <c r="J2927" s="13">
        <f>H2927*I2927</f>
        <v>0</v>
      </c>
    </row>
    <row r="2928" spans="1:10" ht="12" customHeight="1">
      <c r="A2928" s="13" t="s">
        <v>4923</v>
      </c>
      <c r="B2928" s="13" t="s">
        <v>4924</v>
      </c>
      <c r="C2928" s="13" t="s">
        <v>605</v>
      </c>
      <c r="D2928" s="13" t="s">
        <v>3475</v>
      </c>
      <c r="E2928" s="13" t="s">
        <v>93</v>
      </c>
      <c r="F2928" s="13" t="s">
        <v>4925</v>
      </c>
      <c r="G2928" s="20" t="str">
        <f>HYPERLINK("http://semena-nn.ru/catalog/55/1288405","Фото")</f>
        <v>Фото</v>
      </c>
      <c r="H2928" s="18">
        <v>18.7</v>
      </c>
      <c r="I2928" s="27"/>
      <c r="J2928" s="13">
        <f>H2928*I2928</f>
        <v>0</v>
      </c>
    </row>
    <row r="2929" spans="1:10" ht="12" customHeight="1">
      <c r="A2929" s="13" t="s">
        <v>4926</v>
      </c>
      <c r="B2929" s="13" t="s">
        <v>4927</v>
      </c>
      <c r="C2929" s="13" t="s">
        <v>605</v>
      </c>
      <c r="D2929" s="13" t="s">
        <v>3475</v>
      </c>
      <c r="E2929" s="13" t="s">
        <v>93</v>
      </c>
      <c r="F2929" s="13" t="s">
        <v>4928</v>
      </c>
      <c r="G2929" s="20" t="str">
        <f>HYPERLINK("http://semena-nn.ru/catalog/55/1288406","Фото")</f>
        <v>Фото</v>
      </c>
      <c r="H2929" s="18">
        <v>18.7</v>
      </c>
      <c r="I2929" s="27"/>
      <c r="J2929" s="13">
        <f>H2929*I2929</f>
        <v>0</v>
      </c>
    </row>
    <row r="2930" spans="1:10" ht="12" customHeight="1">
      <c r="A2930" s="13" t="s">
        <v>2562</v>
      </c>
      <c r="B2930" s="13" t="s">
        <v>2563</v>
      </c>
      <c r="C2930" s="13" t="s">
        <v>605</v>
      </c>
      <c r="D2930" s="13" t="s">
        <v>697</v>
      </c>
      <c r="E2930" s="13" t="s">
        <v>93</v>
      </c>
      <c r="F2930" s="13" t="s">
        <v>2564</v>
      </c>
      <c r="G2930" s="20" t="str">
        <f>HYPERLINK("http://semena-nn.ru/catalog/55/999000001855","Фото")</f>
        <v>Фото</v>
      </c>
      <c r="H2930" s="18">
        <v>32.6</v>
      </c>
      <c r="I2930" s="27"/>
      <c r="J2930" s="13">
        <f>H2930*I2930</f>
        <v>0</v>
      </c>
    </row>
    <row r="2931" spans="1:10" ht="12" customHeight="1">
      <c r="A2931" s="13" t="s">
        <v>2565</v>
      </c>
      <c r="B2931" s="13" t="s">
        <v>2566</v>
      </c>
      <c r="C2931" s="13" t="s">
        <v>605</v>
      </c>
      <c r="D2931" s="13" t="s">
        <v>697</v>
      </c>
      <c r="E2931" s="13" t="s">
        <v>93</v>
      </c>
      <c r="F2931" s="13" t="s">
        <v>2567</v>
      </c>
      <c r="G2931" s="20" t="str">
        <f>HYPERLINK("https://semena-nn.ru/catalog/55/888000007538","Фото")</f>
        <v>Фото</v>
      </c>
      <c r="H2931" s="19">
        <v>33.25</v>
      </c>
      <c r="I2931" s="27"/>
      <c r="J2931" s="13">
        <f>H2931*I2931</f>
        <v>0</v>
      </c>
    </row>
    <row r="2932" spans="1:10" ht="12" customHeight="1">
      <c r="A2932" s="13" t="s">
        <v>6387</v>
      </c>
      <c r="B2932" s="13" t="s">
        <v>6388</v>
      </c>
      <c r="C2932" s="13" t="s">
        <v>605</v>
      </c>
      <c r="D2932" s="13" t="s">
        <v>6295</v>
      </c>
      <c r="E2932" s="13" t="s">
        <v>93</v>
      </c>
      <c r="F2932" s="13" t="s">
        <v>6389</v>
      </c>
      <c r="G2932" s="20" t="str">
        <f>HYPERLINK("https://semena-nn.ru/catalog/55/888000000268","Фото")</f>
        <v>Фото</v>
      </c>
      <c r="H2932" s="15">
        <v>210</v>
      </c>
      <c r="I2932" s="27"/>
      <c r="J2932" s="13">
        <f>H2932*I2932</f>
        <v>0</v>
      </c>
    </row>
    <row r="2933" spans="1:10" ht="12" customHeight="1">
      <c r="A2933" s="13" t="s">
        <v>6866</v>
      </c>
      <c r="B2933" s="13" t="s">
        <v>6867</v>
      </c>
      <c r="C2933" s="13" t="s">
        <v>605</v>
      </c>
      <c r="D2933" s="13" t="s">
        <v>87</v>
      </c>
      <c r="E2933" s="13" t="s">
        <v>93</v>
      </c>
      <c r="F2933" s="13" t="s">
        <v>6868</v>
      </c>
      <c r="G2933" s="20" t="str">
        <f>HYPERLINK("https://semena-nn.ru/catalog/55/999000004862","Фото")</f>
        <v>Фото</v>
      </c>
      <c r="H2933" s="19">
        <v>19.75</v>
      </c>
      <c r="I2933" s="27"/>
      <c r="J2933" s="13">
        <f>H2933*I2933</f>
        <v>0</v>
      </c>
    </row>
    <row r="2934" spans="1:10" ht="12" customHeight="1">
      <c r="A2934" s="13" t="s">
        <v>2568</v>
      </c>
      <c r="B2934" s="13" t="s">
        <v>2569</v>
      </c>
      <c r="C2934" s="13" t="s">
        <v>605</v>
      </c>
      <c r="D2934" s="13" t="s">
        <v>697</v>
      </c>
      <c r="E2934" s="13" t="s">
        <v>93</v>
      </c>
      <c r="F2934" s="13" t="s">
        <v>2570</v>
      </c>
      <c r="G2934" s="20" t="str">
        <f>HYPERLINK("http://semena-nn.ru/catalog/55/1287526","Фото")</f>
        <v>Фото</v>
      </c>
      <c r="H2934" s="18">
        <v>18.7</v>
      </c>
      <c r="I2934" s="27"/>
      <c r="J2934" s="13">
        <f>H2934*I2934</f>
        <v>0</v>
      </c>
    </row>
    <row r="2935" spans="1:10" ht="12" customHeight="1">
      <c r="A2935" s="13" t="s">
        <v>2571</v>
      </c>
      <c r="B2935" s="13" t="s">
        <v>2572</v>
      </c>
      <c r="C2935" s="13" t="s">
        <v>605</v>
      </c>
      <c r="D2935" s="13" t="s">
        <v>697</v>
      </c>
      <c r="E2935" s="13" t="s">
        <v>93</v>
      </c>
      <c r="F2935" s="13" t="s">
        <v>2570</v>
      </c>
      <c r="G2935" s="20" t="str">
        <f>HYPERLINK("http://semena-nn.ru/catalog/55/1288224","Фото")</f>
        <v>Фото</v>
      </c>
      <c r="H2935" s="18">
        <v>18.7</v>
      </c>
      <c r="I2935" s="27"/>
      <c r="J2935" s="13">
        <f>H2935*I2935</f>
        <v>0</v>
      </c>
    </row>
    <row r="2936" spans="1:10" ht="12" customHeight="1">
      <c r="A2936" s="13" t="s">
        <v>2573</v>
      </c>
      <c r="B2936" s="13" t="s">
        <v>2574</v>
      </c>
      <c r="C2936" s="13" t="s">
        <v>605</v>
      </c>
      <c r="D2936" s="13" t="s">
        <v>697</v>
      </c>
      <c r="E2936" s="13" t="s">
        <v>93</v>
      </c>
      <c r="F2936" s="13" t="s">
        <v>2575</v>
      </c>
      <c r="G2936" s="20" t="str">
        <f>HYPERLINK("http://semena-nn.ru/catalog/55/1287527","Фото")</f>
        <v>Фото</v>
      </c>
      <c r="H2936" s="18">
        <v>18.7</v>
      </c>
      <c r="I2936" s="27"/>
      <c r="J2936" s="13">
        <f>H2936*I2936</f>
        <v>0</v>
      </c>
    </row>
    <row r="2937" spans="1:10" ht="12" customHeight="1">
      <c r="A2937" s="13" t="s">
        <v>2576</v>
      </c>
      <c r="B2937" s="13" t="s">
        <v>2577</v>
      </c>
      <c r="C2937" s="13" t="s">
        <v>605</v>
      </c>
      <c r="D2937" s="13" t="s">
        <v>697</v>
      </c>
      <c r="E2937" s="13" t="s">
        <v>93</v>
      </c>
      <c r="F2937" s="13" t="s">
        <v>2570</v>
      </c>
      <c r="G2937" s="20" t="str">
        <f>HYPERLINK("http://semena-nn.ru/catalog/55/1288225","Фото")</f>
        <v>Фото</v>
      </c>
      <c r="H2937" s="19">
        <v>23.77</v>
      </c>
      <c r="I2937" s="27"/>
      <c r="J2937" s="13">
        <f>H2937*I2937</f>
        <v>0</v>
      </c>
    </row>
    <row r="2938" spans="1:10" ht="12" customHeight="1">
      <c r="A2938" s="13" t="s">
        <v>2578</v>
      </c>
      <c r="B2938" s="13" t="s">
        <v>2579</v>
      </c>
      <c r="C2938" s="13" t="s">
        <v>605</v>
      </c>
      <c r="D2938" s="13" t="s">
        <v>697</v>
      </c>
      <c r="E2938" s="13" t="s">
        <v>93</v>
      </c>
      <c r="F2938" s="13" t="s">
        <v>2580</v>
      </c>
      <c r="G2938" s="20" t="str">
        <f>HYPERLINK("https://semena-nn.ru/catalog/55/1287528","Фото")</f>
        <v>Фото</v>
      </c>
      <c r="H2938" s="19">
        <v>20.95</v>
      </c>
      <c r="I2938" s="27"/>
      <c r="J2938" s="13">
        <f>H2938*I2938</f>
        <v>0</v>
      </c>
    </row>
    <row r="2939" spans="1:10" ht="12" customHeight="1">
      <c r="A2939" s="13" t="s">
        <v>2581</v>
      </c>
      <c r="B2939" s="13" t="s">
        <v>2582</v>
      </c>
      <c r="C2939" s="13" t="s">
        <v>605</v>
      </c>
      <c r="D2939" s="13" t="s">
        <v>697</v>
      </c>
      <c r="E2939" s="13" t="s">
        <v>93</v>
      </c>
      <c r="F2939" s="13" t="s">
        <v>2580</v>
      </c>
      <c r="G2939" s="20" t="str">
        <f>HYPERLINK("http://semena-nn.ru/catalog/55/1289025","Фото")</f>
        <v>Фото</v>
      </c>
      <c r="H2939" s="19">
        <v>20.45</v>
      </c>
      <c r="I2939" s="27"/>
      <c r="J2939" s="13">
        <f>H2939*I2939</f>
        <v>0</v>
      </c>
    </row>
    <row r="2940" spans="1:10" ht="12" customHeight="1">
      <c r="A2940" s="13" t="s">
        <v>6869</v>
      </c>
      <c r="B2940" s="13" t="s">
        <v>6870</v>
      </c>
      <c r="C2940" s="13" t="s">
        <v>605</v>
      </c>
      <c r="D2940" s="13" t="s">
        <v>87</v>
      </c>
      <c r="E2940" s="13" t="s">
        <v>93</v>
      </c>
      <c r="F2940" s="13" t="s">
        <v>6871</v>
      </c>
      <c r="G2940" s="20" t="str">
        <f>HYPERLINK("https://semena-nn.ru/catalog/55/888000000473","Фото")</f>
        <v>Фото</v>
      </c>
      <c r="H2940" s="18">
        <v>18.899999999999999</v>
      </c>
      <c r="I2940" s="27"/>
      <c r="J2940" s="13">
        <f>H2940*I2940</f>
        <v>0</v>
      </c>
    </row>
    <row r="2941" spans="1:10" ht="12" customHeight="1">
      <c r="A2941" s="13" t="s">
        <v>4929</v>
      </c>
      <c r="B2941" s="13" t="s">
        <v>4930</v>
      </c>
      <c r="C2941" s="13" t="s">
        <v>605</v>
      </c>
      <c r="D2941" s="13" t="s">
        <v>3475</v>
      </c>
      <c r="E2941" s="13" t="s">
        <v>93</v>
      </c>
      <c r="F2941" s="13" t="s">
        <v>4931</v>
      </c>
      <c r="G2941" s="20" t="str">
        <f>HYPERLINK("https://semena-nn.ru/catalog/55/1288407","Фото")</f>
        <v>Фото</v>
      </c>
      <c r="H2941" s="18">
        <v>18.7</v>
      </c>
      <c r="I2941" s="27"/>
      <c r="J2941" s="13">
        <f>H2941*I2941</f>
        <v>0</v>
      </c>
    </row>
    <row r="2942" spans="1:10" ht="12" customHeight="1">
      <c r="A2942" s="13" t="s">
        <v>6872</v>
      </c>
      <c r="B2942" s="13" t="s">
        <v>6873</v>
      </c>
      <c r="C2942" s="13" t="s">
        <v>605</v>
      </c>
      <c r="D2942" s="13" t="s">
        <v>87</v>
      </c>
      <c r="E2942" s="13" t="s">
        <v>93</v>
      </c>
      <c r="F2942" s="13" t="s">
        <v>6874</v>
      </c>
      <c r="G2942" s="20" t="str">
        <f>HYPERLINK("https://semena-nn.ru/catalog/55/101934","Фото")</f>
        <v>Фото</v>
      </c>
      <c r="H2942" s="19">
        <v>21.55</v>
      </c>
      <c r="I2942" s="27"/>
      <c r="J2942" s="13">
        <f>H2942*I2942</f>
        <v>0</v>
      </c>
    </row>
    <row r="2943" spans="1:10" ht="12" customHeight="1">
      <c r="A2943" s="13" t="s">
        <v>2583</v>
      </c>
      <c r="B2943" s="13" t="s">
        <v>2584</v>
      </c>
      <c r="C2943" s="13" t="s">
        <v>605</v>
      </c>
      <c r="D2943" s="13" t="s">
        <v>697</v>
      </c>
      <c r="E2943" s="13" t="s">
        <v>93</v>
      </c>
      <c r="F2943" s="13" t="s">
        <v>2585</v>
      </c>
      <c r="G2943" s="20" t="str">
        <f>HYPERLINK("http://semena-nn.ru/catalog/55/95630","Фото")</f>
        <v>Фото</v>
      </c>
      <c r="H2943" s="18">
        <v>18.7</v>
      </c>
      <c r="I2943" s="27"/>
      <c r="J2943" s="13">
        <f>H2943*I2943</f>
        <v>0</v>
      </c>
    </row>
    <row r="2944" spans="1:10" ht="12" customHeight="1">
      <c r="A2944" s="13" t="s">
        <v>2586</v>
      </c>
      <c r="B2944" s="13" t="s">
        <v>2587</v>
      </c>
      <c r="C2944" s="13" t="s">
        <v>605</v>
      </c>
      <c r="D2944" s="13" t="s">
        <v>697</v>
      </c>
      <c r="E2944" s="13" t="s">
        <v>93</v>
      </c>
      <c r="F2944" s="13" t="s">
        <v>2588</v>
      </c>
      <c r="G2944" s="20" t="str">
        <f>HYPERLINK("https://semena-nn.ru/catalog/55/999000011142","Фото")</f>
        <v>Фото</v>
      </c>
      <c r="H2944" s="18">
        <v>32.6</v>
      </c>
      <c r="I2944" s="27"/>
      <c r="J2944" s="13">
        <f>H2944*I2944</f>
        <v>0</v>
      </c>
    </row>
    <row r="2945" spans="1:10" ht="12" customHeight="1">
      <c r="A2945" s="13" t="s">
        <v>6390</v>
      </c>
      <c r="B2945" s="13" t="s">
        <v>6391</v>
      </c>
      <c r="C2945" s="13" t="s">
        <v>605</v>
      </c>
      <c r="D2945" s="13" t="s">
        <v>6295</v>
      </c>
      <c r="E2945" s="13" t="s">
        <v>93</v>
      </c>
      <c r="F2945" s="13" t="s">
        <v>6377</v>
      </c>
      <c r="G2945" s="20" t="str">
        <f>HYPERLINK("https://semena-nn.ru/catalog/55/999000009032","Фото")</f>
        <v>Фото</v>
      </c>
      <c r="H2945" s="15">
        <v>189</v>
      </c>
      <c r="I2945" s="27"/>
      <c r="J2945" s="13">
        <f>H2945*I2945</f>
        <v>0</v>
      </c>
    </row>
    <row r="2946" spans="1:10" ht="12" customHeight="1">
      <c r="A2946" s="13" t="s">
        <v>6875</v>
      </c>
      <c r="B2946" s="13" t="s">
        <v>6876</v>
      </c>
      <c r="C2946" s="13" t="s">
        <v>605</v>
      </c>
      <c r="D2946" s="13" t="s">
        <v>87</v>
      </c>
      <c r="E2946" s="13" t="s">
        <v>93</v>
      </c>
      <c r="F2946" s="13" t="s">
        <v>6877</v>
      </c>
      <c r="G2946" s="20" t="str">
        <f>HYPERLINK("https://semena-nn.ru/catalog/55/1313531","Фото")</f>
        <v>Фото</v>
      </c>
      <c r="H2946" s="18">
        <v>19.3</v>
      </c>
      <c r="I2946" s="27"/>
      <c r="J2946" s="13">
        <f>H2946*I2946</f>
        <v>0</v>
      </c>
    </row>
    <row r="2947" spans="1:10" ht="12" customHeight="1">
      <c r="A2947" s="13" t="s">
        <v>4932</v>
      </c>
      <c r="B2947" s="13" t="s">
        <v>4933</v>
      </c>
      <c r="C2947" s="13" t="s">
        <v>605</v>
      </c>
      <c r="D2947" s="13" t="s">
        <v>3475</v>
      </c>
      <c r="E2947" s="13" t="s">
        <v>93</v>
      </c>
      <c r="F2947" s="13" t="s">
        <v>4934</v>
      </c>
      <c r="G2947" s="20" t="str">
        <f>HYPERLINK("http://semena-nn.ru/catalog/55/1123888","Фото")</f>
        <v>Фото</v>
      </c>
      <c r="H2947" s="18">
        <v>48.3</v>
      </c>
      <c r="I2947" s="27"/>
      <c r="J2947" s="13">
        <f>H2947*I2947</f>
        <v>0</v>
      </c>
    </row>
    <row r="2948" spans="1:10" ht="12" customHeight="1">
      <c r="A2948" s="13" t="s">
        <v>6392</v>
      </c>
      <c r="B2948" s="13" t="s">
        <v>6393</v>
      </c>
      <c r="C2948" s="13" t="s">
        <v>605</v>
      </c>
      <c r="D2948" s="13" t="s">
        <v>6295</v>
      </c>
      <c r="E2948" s="13" t="s">
        <v>93</v>
      </c>
      <c r="F2948" s="13" t="s">
        <v>6380</v>
      </c>
      <c r="G2948" s="20" t="str">
        <f>HYPERLINK("https://semena-nn.ru/catalog/55/999000020726","Фото")</f>
        <v>Фото</v>
      </c>
      <c r="H2948" s="15">
        <v>210</v>
      </c>
      <c r="I2948" s="27"/>
      <c r="J2948" s="13">
        <f>H2948*I2948</f>
        <v>0</v>
      </c>
    </row>
    <row r="2949" spans="1:10" ht="12" customHeight="1">
      <c r="A2949" s="13" t="s">
        <v>4935</v>
      </c>
      <c r="B2949" s="13" t="s">
        <v>4936</v>
      </c>
      <c r="C2949" s="13" t="s">
        <v>605</v>
      </c>
      <c r="D2949" s="13" t="s">
        <v>3475</v>
      </c>
      <c r="E2949" s="13" t="s">
        <v>93</v>
      </c>
      <c r="F2949" s="13" t="s">
        <v>4937</v>
      </c>
      <c r="G2949" s="20" t="str">
        <f>HYPERLINK("http://semena-nn.ru/catalog/55/113428","Фото")</f>
        <v>Фото</v>
      </c>
      <c r="H2949" s="19">
        <v>19.850000000000001</v>
      </c>
      <c r="I2949" s="27"/>
      <c r="J2949" s="13">
        <f>H2949*I2949</f>
        <v>0</v>
      </c>
    </row>
    <row r="2950" spans="1:10" ht="12" customHeight="1">
      <c r="A2950" s="13" t="s">
        <v>6394</v>
      </c>
      <c r="B2950" s="13" t="s">
        <v>6395</v>
      </c>
      <c r="C2950" s="13" t="s">
        <v>605</v>
      </c>
      <c r="D2950" s="13" t="s">
        <v>6295</v>
      </c>
      <c r="E2950" s="13" t="s">
        <v>93</v>
      </c>
      <c r="F2950" s="13" t="s">
        <v>6396</v>
      </c>
      <c r="G2950" s="20" t="str">
        <f>HYPERLINK("https://semena-nn.ru/catalog/55/999000020654","Фото")</f>
        <v>Фото</v>
      </c>
      <c r="H2950" s="18">
        <v>199.5</v>
      </c>
      <c r="I2950" s="27"/>
      <c r="J2950" s="13">
        <f>H2950*I2950</f>
        <v>0</v>
      </c>
    </row>
    <row r="2951" spans="1:10" ht="12" customHeight="1">
      <c r="A2951" s="13" t="s">
        <v>2589</v>
      </c>
      <c r="B2951" s="13" t="s">
        <v>2590</v>
      </c>
      <c r="C2951" s="13" t="s">
        <v>605</v>
      </c>
      <c r="D2951" s="13" t="s">
        <v>697</v>
      </c>
      <c r="E2951" s="13" t="s">
        <v>93</v>
      </c>
      <c r="F2951" s="13" t="s">
        <v>2591</v>
      </c>
      <c r="G2951" s="20" t="str">
        <f>HYPERLINK("http://semena-nn.ru/catalog/55/108935","Фото")</f>
        <v>Фото</v>
      </c>
      <c r="H2951" s="18">
        <v>19.2</v>
      </c>
      <c r="I2951" s="27"/>
      <c r="J2951" s="13">
        <f>H2951*I2951</f>
        <v>0</v>
      </c>
    </row>
    <row r="2952" spans="1:10" ht="12" customHeight="1">
      <c r="A2952" s="13" t="s">
        <v>6397</v>
      </c>
      <c r="B2952" s="13" t="s">
        <v>6398</v>
      </c>
      <c r="C2952" s="13" t="s">
        <v>605</v>
      </c>
      <c r="D2952" s="13" t="s">
        <v>6295</v>
      </c>
      <c r="E2952" s="13" t="s">
        <v>93</v>
      </c>
      <c r="F2952" s="13" t="s">
        <v>6399</v>
      </c>
      <c r="G2952" s="20" t="str">
        <f>HYPERLINK("https://semena-nn.ru/catalog/55/999000019849","Фото")</f>
        <v>Фото</v>
      </c>
      <c r="H2952" s="15">
        <v>189</v>
      </c>
      <c r="I2952" s="27"/>
      <c r="J2952" s="13">
        <f>H2952*I2952</f>
        <v>0</v>
      </c>
    </row>
    <row r="2953" spans="1:10" ht="12" customHeight="1">
      <c r="A2953" s="13" t="s">
        <v>6400</v>
      </c>
      <c r="B2953" s="13" t="s">
        <v>6401</v>
      </c>
      <c r="C2953" s="13" t="s">
        <v>605</v>
      </c>
      <c r="D2953" s="13" t="s">
        <v>6295</v>
      </c>
      <c r="E2953" s="13" t="s">
        <v>93</v>
      </c>
      <c r="F2953" s="13" t="s">
        <v>6402</v>
      </c>
      <c r="G2953" s="20" t="str">
        <f>HYPERLINK("https://semena-nn.ru/catalog/55/999000020655","Фото")</f>
        <v>Фото</v>
      </c>
      <c r="H2953" s="18">
        <v>199.5</v>
      </c>
      <c r="I2953" s="27"/>
      <c r="J2953" s="13">
        <f>H2953*I2953</f>
        <v>0</v>
      </c>
    </row>
    <row r="2954" spans="1:10" ht="12" customHeight="1">
      <c r="A2954" s="13" t="s">
        <v>6403</v>
      </c>
      <c r="B2954" s="13" t="s">
        <v>6404</v>
      </c>
      <c r="C2954" s="13" t="s">
        <v>605</v>
      </c>
      <c r="D2954" s="13" t="s">
        <v>6295</v>
      </c>
      <c r="E2954" s="13" t="s">
        <v>93</v>
      </c>
      <c r="F2954" s="13" t="s">
        <v>6389</v>
      </c>
      <c r="G2954" s="20" t="str">
        <f>HYPERLINK("https://semena-nn.ru/catalog/55/888000000269","Фото")</f>
        <v>Фото</v>
      </c>
      <c r="H2954" s="15">
        <v>210</v>
      </c>
      <c r="I2954" s="27"/>
      <c r="J2954" s="13">
        <f>H2954*I2954</f>
        <v>0</v>
      </c>
    </row>
    <row r="2955" spans="1:10" ht="12" customHeight="1">
      <c r="A2955" s="13" t="s">
        <v>6878</v>
      </c>
      <c r="B2955" s="13" t="s">
        <v>6879</v>
      </c>
      <c r="C2955" s="13" t="s">
        <v>671</v>
      </c>
      <c r="D2955" s="13" t="s">
        <v>87</v>
      </c>
      <c r="E2955" s="13" t="s">
        <v>93</v>
      </c>
      <c r="F2955" s="13" t="s">
        <v>6880</v>
      </c>
      <c r="G2955" s="20" t="str">
        <f>HYPERLINK("https://semena-nn.ru/catalog/56/96753","Фото")</f>
        <v>Фото</v>
      </c>
      <c r="H2955" s="18">
        <v>25.2</v>
      </c>
      <c r="I2955" s="27"/>
      <c r="J2955" s="13">
        <f>H2955*I2955</f>
        <v>0</v>
      </c>
    </row>
    <row r="2956" spans="1:10" ht="12" customHeight="1">
      <c r="A2956" s="13" t="s">
        <v>6881</v>
      </c>
      <c r="B2956" s="13" t="s">
        <v>6882</v>
      </c>
      <c r="C2956" s="13" t="s">
        <v>671</v>
      </c>
      <c r="D2956" s="13" t="s">
        <v>87</v>
      </c>
      <c r="E2956" s="13" t="s">
        <v>93</v>
      </c>
      <c r="F2956" s="13" t="s">
        <v>6883</v>
      </c>
      <c r="G2956" s="20" t="str">
        <f>HYPERLINK("https://semena-nn.ru/catalog/56/106655","Фото")</f>
        <v>Фото</v>
      </c>
      <c r="H2956" s="19">
        <v>22.05</v>
      </c>
      <c r="I2956" s="27"/>
      <c r="J2956" s="13">
        <f>H2956*I2956</f>
        <v>0</v>
      </c>
    </row>
    <row r="2957" spans="1:10" ht="12" customHeight="1">
      <c r="A2957" s="13" t="s">
        <v>2592</v>
      </c>
      <c r="B2957" s="13" t="s">
        <v>2593</v>
      </c>
      <c r="C2957" s="13" t="s">
        <v>671</v>
      </c>
      <c r="D2957" s="13" t="s">
        <v>697</v>
      </c>
      <c r="E2957" s="13" t="s">
        <v>93</v>
      </c>
      <c r="F2957" s="13" t="s">
        <v>2594</v>
      </c>
      <c r="G2957" s="20" t="str">
        <f>HYPERLINK("https://semena-nn.ru/catalog/56/1124920","Фото")</f>
        <v>Фото</v>
      </c>
      <c r="H2957" s="18">
        <v>21.9</v>
      </c>
      <c r="I2957" s="27"/>
      <c r="J2957" s="13">
        <f>H2957*I2957</f>
        <v>0</v>
      </c>
    </row>
    <row r="2958" spans="1:10" ht="12" customHeight="1">
      <c r="A2958" s="13" t="s">
        <v>6884</v>
      </c>
      <c r="B2958" s="13" t="s">
        <v>6885</v>
      </c>
      <c r="C2958" s="13" t="s">
        <v>671</v>
      </c>
      <c r="D2958" s="13" t="s">
        <v>87</v>
      </c>
      <c r="E2958" s="13" t="s">
        <v>93</v>
      </c>
      <c r="F2958" s="13" t="s">
        <v>6886</v>
      </c>
      <c r="G2958" s="20" t="str">
        <f>HYPERLINK("https://semena-nn.ru/catalog/56/101895","Фото")</f>
        <v>Фото</v>
      </c>
      <c r="H2958" s="19">
        <v>22.05</v>
      </c>
      <c r="I2958" s="27"/>
      <c r="J2958" s="13">
        <f>H2958*I2958</f>
        <v>0</v>
      </c>
    </row>
    <row r="2959" spans="1:10" ht="12" customHeight="1">
      <c r="A2959" s="13" t="s">
        <v>2595</v>
      </c>
      <c r="B2959" s="13" t="s">
        <v>2596</v>
      </c>
      <c r="C2959" s="13" t="s">
        <v>671</v>
      </c>
      <c r="D2959" s="13" t="s">
        <v>697</v>
      </c>
      <c r="E2959" s="13" t="s">
        <v>93</v>
      </c>
      <c r="F2959" s="13" t="s">
        <v>2597</v>
      </c>
      <c r="G2959" s="20" t="str">
        <f>HYPERLINK("http://semena-nn.ru/catalog/56/1124921","Фото")</f>
        <v>Фото</v>
      </c>
      <c r="H2959" s="18">
        <v>31.5</v>
      </c>
      <c r="I2959" s="27"/>
      <c r="J2959" s="13">
        <f>H2959*I2959</f>
        <v>0</v>
      </c>
    </row>
    <row r="2960" spans="1:10" ht="12" customHeight="1">
      <c r="A2960" s="13" t="s">
        <v>2598</v>
      </c>
      <c r="B2960" s="13" t="s">
        <v>2599</v>
      </c>
      <c r="C2960" s="13" t="s">
        <v>671</v>
      </c>
      <c r="D2960" s="13" t="s">
        <v>697</v>
      </c>
      <c r="E2960" s="13" t="s">
        <v>93</v>
      </c>
      <c r="F2960" s="13" t="s">
        <v>2600</v>
      </c>
      <c r="G2960" s="20" t="str">
        <f>HYPERLINK("https://semena-nn.ru/catalog/56/1124628","Фото")</f>
        <v>Фото</v>
      </c>
      <c r="H2960" s="19">
        <v>35.35</v>
      </c>
      <c r="I2960" s="27"/>
      <c r="J2960" s="13">
        <f>H2960*I2960</f>
        <v>0</v>
      </c>
    </row>
    <row r="2961" spans="1:10" ht="12" customHeight="1">
      <c r="A2961" s="13" t="s">
        <v>2601</v>
      </c>
      <c r="B2961" s="13" t="s">
        <v>2602</v>
      </c>
      <c r="C2961" s="13" t="s">
        <v>671</v>
      </c>
      <c r="D2961" s="13" t="s">
        <v>697</v>
      </c>
      <c r="E2961" s="13" t="s">
        <v>93</v>
      </c>
      <c r="F2961" s="13" t="s">
        <v>2603</v>
      </c>
      <c r="G2961" s="20" t="str">
        <f>HYPERLINK("https://semena-nn.ru/catalog/56/1124629","Фото")</f>
        <v>Фото</v>
      </c>
      <c r="H2961" s="18">
        <v>34.799999999999997</v>
      </c>
      <c r="I2961" s="27"/>
      <c r="J2961" s="13">
        <f>H2961*I2961</f>
        <v>0</v>
      </c>
    </row>
    <row r="2962" spans="1:10" ht="12" customHeight="1">
      <c r="A2962" s="13" t="s">
        <v>2604</v>
      </c>
      <c r="B2962" s="13" t="s">
        <v>2605</v>
      </c>
      <c r="C2962" s="13" t="s">
        <v>671</v>
      </c>
      <c r="D2962" s="13" t="s">
        <v>697</v>
      </c>
      <c r="E2962" s="13" t="s">
        <v>93</v>
      </c>
      <c r="F2962" s="13" t="s">
        <v>2606</v>
      </c>
      <c r="G2962" s="20" t="str">
        <f>HYPERLINK("http://semena-nn.ru/catalog/56/100093","Фото")</f>
        <v>Фото</v>
      </c>
      <c r="H2962" s="18">
        <v>24.1</v>
      </c>
      <c r="I2962" s="27"/>
      <c r="J2962" s="13">
        <f>H2962*I2962</f>
        <v>0</v>
      </c>
    </row>
    <row r="2963" spans="1:10" ht="12" customHeight="1">
      <c r="A2963" s="13" t="s">
        <v>2607</v>
      </c>
      <c r="B2963" s="13" t="s">
        <v>2608</v>
      </c>
      <c r="C2963" s="13" t="s">
        <v>671</v>
      </c>
      <c r="D2963" s="13" t="s">
        <v>697</v>
      </c>
      <c r="E2963" s="13" t="s">
        <v>93</v>
      </c>
      <c r="F2963" s="13" t="s">
        <v>2609</v>
      </c>
      <c r="G2963" s="20" t="str">
        <f>HYPERLINK("https://semena-nn.ru/catalog/56/888000000617","Фото")</f>
        <v>Фото</v>
      </c>
      <c r="H2963" s="18">
        <v>20.9</v>
      </c>
      <c r="I2963" s="27"/>
      <c r="J2963" s="13">
        <f>H2963*I2963</f>
        <v>0</v>
      </c>
    </row>
    <row r="2964" spans="1:10" ht="12" customHeight="1">
      <c r="A2964" s="13" t="s">
        <v>4938</v>
      </c>
      <c r="B2964" s="13" t="s">
        <v>4939</v>
      </c>
      <c r="C2964" s="13" t="s">
        <v>624</v>
      </c>
      <c r="D2964" s="13" t="s">
        <v>3475</v>
      </c>
      <c r="E2964" s="13" t="s">
        <v>93</v>
      </c>
      <c r="F2964" s="13" t="s">
        <v>4940</v>
      </c>
      <c r="G2964" s="20" t="str">
        <f>HYPERLINK("https://semena-nn.ru/catalog/57/999000012762","Фото")</f>
        <v>Фото</v>
      </c>
      <c r="H2964" s="18">
        <v>49.6</v>
      </c>
      <c r="I2964" s="27"/>
      <c r="J2964" s="13">
        <f>H2964*I2964</f>
        <v>0</v>
      </c>
    </row>
    <row r="2965" spans="1:10" ht="12" customHeight="1">
      <c r="A2965" s="13" t="s">
        <v>6016</v>
      </c>
      <c r="B2965" s="13" t="s">
        <v>6017</v>
      </c>
      <c r="C2965" s="13" t="s">
        <v>624</v>
      </c>
      <c r="D2965" s="13" t="s">
        <v>5834</v>
      </c>
      <c r="E2965" s="13" t="s">
        <v>93</v>
      </c>
      <c r="F2965" s="13" t="s">
        <v>6018</v>
      </c>
      <c r="G2965" s="20" t="str">
        <f>HYPERLINK("https://semena-nn.ru/catalog/57/888000001611","Фото")</f>
        <v>Фото</v>
      </c>
      <c r="H2965" s="19">
        <v>62.48</v>
      </c>
      <c r="I2965" s="27"/>
      <c r="J2965" s="13">
        <f>H2965*I2965</f>
        <v>0</v>
      </c>
    </row>
    <row r="2966" spans="1:10" ht="12" customHeight="1">
      <c r="A2966" s="13" t="s">
        <v>4941</v>
      </c>
      <c r="B2966" s="13" t="s">
        <v>4942</v>
      </c>
      <c r="C2966" s="13" t="s">
        <v>624</v>
      </c>
      <c r="D2966" s="13" t="s">
        <v>3475</v>
      </c>
      <c r="E2966" s="13" t="s">
        <v>93</v>
      </c>
      <c r="F2966" s="13" t="s">
        <v>4943</v>
      </c>
      <c r="G2966" s="20" t="str">
        <f>HYPERLINK("https://semena-nn.ru/catalog/57/999000009343","Фото")</f>
        <v>Фото</v>
      </c>
      <c r="H2966" s="18">
        <v>92.4</v>
      </c>
      <c r="I2966" s="27"/>
      <c r="J2966" s="13">
        <f>H2966*I2966</f>
        <v>0</v>
      </c>
    </row>
    <row r="2967" spans="1:10" ht="12" customHeight="1">
      <c r="A2967" s="13" t="s">
        <v>4944</v>
      </c>
      <c r="B2967" s="13" t="s">
        <v>4945</v>
      </c>
      <c r="C2967" s="13" t="s">
        <v>624</v>
      </c>
      <c r="D2967" s="13" t="s">
        <v>3475</v>
      </c>
      <c r="E2967" s="13" t="s">
        <v>93</v>
      </c>
      <c r="F2967" s="13" t="s">
        <v>4946</v>
      </c>
      <c r="G2967" s="20" t="str">
        <f>HYPERLINK("https://semena-nn.ru/catalog/57/1299559","Фото")</f>
        <v>Фото</v>
      </c>
      <c r="H2967" s="19">
        <v>38.89</v>
      </c>
      <c r="I2967" s="27"/>
      <c r="J2967" s="13">
        <f>H2967*I2967</f>
        <v>0</v>
      </c>
    </row>
    <row r="2968" spans="1:10" ht="12" customHeight="1">
      <c r="A2968" s="13" t="s">
        <v>4947</v>
      </c>
      <c r="B2968" s="13" t="s">
        <v>4948</v>
      </c>
      <c r="C2968" s="13" t="s">
        <v>624</v>
      </c>
      <c r="D2968" s="13" t="s">
        <v>3475</v>
      </c>
      <c r="E2968" s="13" t="s">
        <v>93</v>
      </c>
      <c r="F2968" s="13" t="s">
        <v>4949</v>
      </c>
      <c r="G2968" s="20" t="str">
        <f>HYPERLINK("http://semena-nn.ru/catalog/57/999000001774","Фото")</f>
        <v>Фото</v>
      </c>
      <c r="H2968" s="18">
        <v>60.9</v>
      </c>
      <c r="I2968" s="27"/>
      <c r="J2968" s="13">
        <f>H2968*I2968</f>
        <v>0</v>
      </c>
    </row>
    <row r="2969" spans="1:10" ht="12" customHeight="1">
      <c r="A2969" s="13" t="s">
        <v>5811</v>
      </c>
      <c r="B2969" s="13" t="s">
        <v>5812</v>
      </c>
      <c r="C2969" s="13" t="s">
        <v>671</v>
      </c>
      <c r="D2969" s="13" t="s">
        <v>5136</v>
      </c>
      <c r="E2969" s="13" t="s">
        <v>93</v>
      </c>
      <c r="F2969" s="13" t="s">
        <v>5813</v>
      </c>
      <c r="G2969" s="20" t="str">
        <f>HYPERLINK("https://semena-nn.ru/catalog/56/888000000907","Фото")</f>
        <v>Фото</v>
      </c>
      <c r="H2969" s="18">
        <v>49.9</v>
      </c>
      <c r="I2969" s="27"/>
      <c r="J2969" s="13">
        <f>H2969*I2969</f>
        <v>0</v>
      </c>
    </row>
    <row r="2970" spans="1:10" ht="12" customHeight="1">
      <c r="A2970" s="13" t="s">
        <v>5814</v>
      </c>
      <c r="B2970" s="13" t="s">
        <v>5815</v>
      </c>
      <c r="C2970" s="13" t="s">
        <v>671</v>
      </c>
      <c r="D2970" s="13" t="s">
        <v>5136</v>
      </c>
      <c r="E2970" s="13" t="s">
        <v>93</v>
      </c>
      <c r="F2970" s="13" t="s">
        <v>5816</v>
      </c>
      <c r="G2970" s="20" t="str">
        <f>HYPERLINK("https://semena-nn.ru/catalog/56/888000000081","Фото")</f>
        <v>Фото</v>
      </c>
      <c r="H2970" s="15">
        <v>63</v>
      </c>
      <c r="I2970" s="27"/>
      <c r="J2970" s="13">
        <f>H2970*I2970</f>
        <v>0</v>
      </c>
    </row>
    <row r="2971" spans="1:10" ht="12" customHeight="1">
      <c r="A2971" s="13" t="s">
        <v>4950</v>
      </c>
      <c r="B2971" s="13" t="s">
        <v>4951</v>
      </c>
      <c r="C2971" s="13" t="s">
        <v>671</v>
      </c>
      <c r="D2971" s="13" t="s">
        <v>3475</v>
      </c>
      <c r="E2971" s="13" t="s">
        <v>93</v>
      </c>
      <c r="F2971" s="13" t="s">
        <v>4952</v>
      </c>
      <c r="G2971" s="20" t="str">
        <f>HYPERLINK("https://semena-nn.ru/catalog/56/1114549","Фото")</f>
        <v>Фото</v>
      </c>
      <c r="H2971" s="19">
        <v>20.95</v>
      </c>
      <c r="I2971" s="27"/>
      <c r="J2971" s="13">
        <f>H2971*I2971</f>
        <v>0</v>
      </c>
    </row>
    <row r="2972" spans="1:10" ht="12" customHeight="1">
      <c r="A2972" s="13" t="s">
        <v>4953</v>
      </c>
      <c r="B2972" s="13" t="s">
        <v>4954</v>
      </c>
      <c r="C2972" s="13" t="s">
        <v>671</v>
      </c>
      <c r="D2972" s="13" t="s">
        <v>3475</v>
      </c>
      <c r="E2972" s="13" t="s">
        <v>93</v>
      </c>
      <c r="F2972" s="13" t="s">
        <v>4955</v>
      </c>
      <c r="G2972" s="20" t="str">
        <f>HYPERLINK("https://semena-nn.ru/catalog/56/999000008710","Фото")</f>
        <v>Фото</v>
      </c>
      <c r="H2972" s="19">
        <v>20.95</v>
      </c>
      <c r="I2972" s="27"/>
      <c r="J2972" s="13">
        <f>H2972*I2972</f>
        <v>0</v>
      </c>
    </row>
    <row r="2973" spans="1:10" ht="12" customHeight="1">
      <c r="A2973" s="13" t="s">
        <v>3461</v>
      </c>
      <c r="B2973" s="13" t="s">
        <v>3462</v>
      </c>
      <c r="C2973" s="13" t="s">
        <v>671</v>
      </c>
      <c r="D2973" s="13" t="s">
        <v>697</v>
      </c>
      <c r="E2973" s="13" t="s">
        <v>3064</v>
      </c>
      <c r="F2973" s="13" t="s">
        <v>3463</v>
      </c>
      <c r="G2973" s="20" t="str">
        <f>HYPERLINK("https://semena-nn.ru/catalog/56/999000012618","Фото")</f>
        <v>Фото</v>
      </c>
      <c r="H2973" s="19">
        <v>12.65</v>
      </c>
      <c r="I2973" s="27"/>
      <c r="J2973" s="13">
        <f>H2973*I2973</f>
        <v>0</v>
      </c>
    </row>
    <row r="2974" spans="1:10" ht="12" customHeight="1">
      <c r="A2974" s="13" t="s">
        <v>6887</v>
      </c>
      <c r="B2974" s="13" t="s">
        <v>6888</v>
      </c>
      <c r="C2974" s="13" t="s">
        <v>605</v>
      </c>
      <c r="D2974" s="13" t="s">
        <v>87</v>
      </c>
      <c r="E2974" s="13" t="s">
        <v>93</v>
      </c>
      <c r="F2974" s="13" t="s">
        <v>6889</v>
      </c>
      <c r="G2974" s="20" t="str">
        <f>HYPERLINK("https://semena-nn.ru/catalog/55/1283570","Фото")</f>
        <v>Фото</v>
      </c>
      <c r="H2974" s="18">
        <v>19.100000000000001</v>
      </c>
      <c r="I2974" s="27"/>
      <c r="J2974" s="13">
        <f>H2974*I2974</f>
        <v>0</v>
      </c>
    </row>
    <row r="2975" spans="1:10" ht="12" customHeight="1">
      <c r="A2975" s="13" t="s">
        <v>2610</v>
      </c>
      <c r="B2975" s="13" t="s">
        <v>2611</v>
      </c>
      <c r="C2975" s="13" t="s">
        <v>605</v>
      </c>
      <c r="D2975" s="13" t="s">
        <v>697</v>
      </c>
      <c r="E2975" s="13" t="s">
        <v>93</v>
      </c>
      <c r="F2975" s="13" t="s">
        <v>2612</v>
      </c>
      <c r="G2975" s="20" t="str">
        <f>HYPERLINK("https://semena-nn.ru/catalog/55/108936","Фото")</f>
        <v>Фото</v>
      </c>
      <c r="H2975" s="18">
        <v>18.7</v>
      </c>
      <c r="I2975" s="27"/>
      <c r="J2975" s="13">
        <f>H2975*I2975</f>
        <v>0</v>
      </c>
    </row>
    <row r="2976" spans="1:10" ht="12" customHeight="1">
      <c r="A2976" s="13" t="s">
        <v>2613</v>
      </c>
      <c r="B2976" s="13" t="s">
        <v>2614</v>
      </c>
      <c r="C2976" s="13" t="s">
        <v>605</v>
      </c>
      <c r="D2976" s="13" t="s">
        <v>697</v>
      </c>
      <c r="E2976" s="13" t="s">
        <v>93</v>
      </c>
      <c r="F2976" s="13" t="s">
        <v>2615</v>
      </c>
      <c r="G2976" s="20" t="str">
        <f>HYPERLINK("https://semena-nn.ru/catalog/55/1126918","Фото")</f>
        <v>Фото</v>
      </c>
      <c r="H2976" s="18">
        <v>20.9</v>
      </c>
      <c r="I2976" s="27"/>
      <c r="J2976" s="13">
        <f>H2976*I2976</f>
        <v>0</v>
      </c>
    </row>
    <row r="2977" spans="1:10" ht="12" customHeight="1">
      <c r="A2977" s="13" t="s">
        <v>4956</v>
      </c>
      <c r="B2977" s="13" t="s">
        <v>4957</v>
      </c>
      <c r="C2977" s="13" t="s">
        <v>605</v>
      </c>
      <c r="D2977" s="13" t="s">
        <v>3475</v>
      </c>
      <c r="E2977" s="13" t="s">
        <v>93</v>
      </c>
      <c r="F2977" s="13" t="s">
        <v>4958</v>
      </c>
      <c r="G2977" s="20" t="str">
        <f>HYPERLINK("https://semena-nn.ru/catalog/55/1305988","Фото")</f>
        <v>Фото</v>
      </c>
      <c r="H2977" s="18">
        <v>18.7</v>
      </c>
      <c r="I2977" s="27"/>
      <c r="J2977" s="13">
        <f>H2977*I2977</f>
        <v>0</v>
      </c>
    </row>
    <row r="2978" spans="1:10" ht="12" customHeight="1">
      <c r="A2978" s="13" t="s">
        <v>2616</v>
      </c>
      <c r="B2978" s="13" t="s">
        <v>2617</v>
      </c>
      <c r="C2978" s="13" t="s">
        <v>605</v>
      </c>
      <c r="D2978" s="13" t="s">
        <v>697</v>
      </c>
      <c r="E2978" s="13" t="s">
        <v>93</v>
      </c>
      <c r="F2978" s="13" t="s">
        <v>2618</v>
      </c>
      <c r="G2978" s="20" t="str">
        <f>HYPERLINK("https://semena-nn.ru/catalog/55/1126919","Фото")</f>
        <v>Фото</v>
      </c>
      <c r="H2978" s="18">
        <v>29.7</v>
      </c>
      <c r="I2978" s="27"/>
      <c r="J2978" s="13">
        <f>H2978*I2978</f>
        <v>0</v>
      </c>
    </row>
    <row r="2979" spans="1:10" ht="12" customHeight="1">
      <c r="A2979" s="13" t="s">
        <v>2619</v>
      </c>
      <c r="B2979" s="13" t="s">
        <v>2620</v>
      </c>
      <c r="C2979" s="13" t="s">
        <v>605</v>
      </c>
      <c r="D2979" s="13" t="s">
        <v>697</v>
      </c>
      <c r="E2979" s="13" t="s">
        <v>93</v>
      </c>
      <c r="F2979" s="13" t="s">
        <v>2621</v>
      </c>
      <c r="G2979" s="20" t="str">
        <f>HYPERLINK("https://semena-nn.ru/catalog/55/1126920","Фото")</f>
        <v>Фото</v>
      </c>
      <c r="H2979" s="18">
        <v>29.7</v>
      </c>
      <c r="I2979" s="27"/>
      <c r="J2979" s="13">
        <f>H2979*I2979</f>
        <v>0</v>
      </c>
    </row>
    <row r="2980" spans="1:10" ht="12" customHeight="1">
      <c r="A2980" s="13" t="s">
        <v>6890</v>
      </c>
      <c r="B2980" s="13" t="s">
        <v>6891</v>
      </c>
      <c r="C2980" s="13" t="s">
        <v>605</v>
      </c>
      <c r="D2980" s="13" t="s">
        <v>87</v>
      </c>
      <c r="E2980" s="13" t="s">
        <v>93</v>
      </c>
      <c r="F2980" s="13" t="s">
        <v>6892</v>
      </c>
      <c r="G2980" s="20" t="str">
        <f>HYPERLINK("https://semena-nn.ru/catalog/55/999000019999","Фото")</f>
        <v>Фото</v>
      </c>
      <c r="H2980" s="18">
        <v>20.2</v>
      </c>
      <c r="I2980" s="27"/>
      <c r="J2980" s="13">
        <f>H2980*I2980</f>
        <v>0</v>
      </c>
    </row>
    <row r="2981" spans="1:10" ht="12" customHeight="1">
      <c r="A2981" s="13" t="s">
        <v>4959</v>
      </c>
      <c r="B2981" s="13" t="s">
        <v>4960</v>
      </c>
      <c r="C2981" s="13" t="s">
        <v>33</v>
      </c>
      <c r="D2981" s="13" t="s">
        <v>3475</v>
      </c>
      <c r="E2981" s="13" t="s">
        <v>93</v>
      </c>
      <c r="F2981" s="13" t="s">
        <v>4961</v>
      </c>
      <c r="G2981" s="20" t="str">
        <f>HYPERLINK("https://semena-nn.ru/catalog/1/1286422","Фото")</f>
        <v>Фото</v>
      </c>
      <c r="H2981" s="18">
        <v>79.8</v>
      </c>
      <c r="I2981" s="27"/>
      <c r="J2981" s="13">
        <f>H2981*I2981</f>
        <v>0</v>
      </c>
    </row>
    <row r="2982" spans="1:10" ht="12" customHeight="1">
      <c r="A2982" s="13" t="s">
        <v>4962</v>
      </c>
      <c r="B2982" s="13" t="s">
        <v>4963</v>
      </c>
      <c r="C2982" s="13" t="s">
        <v>33</v>
      </c>
      <c r="D2982" s="13" t="s">
        <v>3475</v>
      </c>
      <c r="E2982" s="13" t="s">
        <v>93</v>
      </c>
      <c r="F2982" s="13" t="s">
        <v>4964</v>
      </c>
      <c r="G2982" s="20" t="str">
        <f>HYPERLINK("https://semena-nn.ru/catalog/1/1286421","Фото")</f>
        <v>Фото</v>
      </c>
      <c r="H2982" s="19">
        <v>74.150000000000006</v>
      </c>
      <c r="I2982" s="27"/>
      <c r="J2982" s="13">
        <f>H2982*I2982</f>
        <v>0</v>
      </c>
    </row>
    <row r="2983" spans="1:10" ht="12" customHeight="1">
      <c r="A2983" s="13" t="s">
        <v>4965</v>
      </c>
      <c r="B2983" s="13" t="s">
        <v>4966</v>
      </c>
      <c r="C2983" s="13" t="s">
        <v>33</v>
      </c>
      <c r="D2983" s="13" t="s">
        <v>3475</v>
      </c>
      <c r="E2983" s="13" t="s">
        <v>93</v>
      </c>
      <c r="F2983" s="13" t="s">
        <v>4967</v>
      </c>
      <c r="G2983" s="20" t="str">
        <f>HYPERLINK("https://semena-nn.ru/catalog/1/1290721","Фото")</f>
        <v>Фото</v>
      </c>
      <c r="H2983" s="18">
        <v>87.9</v>
      </c>
      <c r="I2983" s="27"/>
      <c r="J2983" s="13">
        <f>H2983*I2983</f>
        <v>0</v>
      </c>
    </row>
    <row r="2984" spans="1:10" ht="12" customHeight="1">
      <c r="A2984" s="13" t="s">
        <v>7717</v>
      </c>
      <c r="B2984" s="13" t="s">
        <v>7718</v>
      </c>
      <c r="C2984" s="13" t="s">
        <v>208</v>
      </c>
      <c r="D2984" s="13" t="s">
        <v>7148</v>
      </c>
      <c r="E2984" s="13" t="s">
        <v>93</v>
      </c>
      <c r="F2984" s="13" t="s">
        <v>7719</v>
      </c>
      <c r="G2984" s="20" t="str">
        <f>HYPERLINK("https://semena-nn.ru/catalog/53/999000008560","Фото")</f>
        <v>Фото</v>
      </c>
      <c r="H2984" s="15">
        <v>51</v>
      </c>
      <c r="I2984" s="27"/>
      <c r="J2984" s="13">
        <f>H2984*I2984</f>
        <v>0</v>
      </c>
    </row>
    <row r="2985" spans="1:10" ht="12" customHeight="1">
      <c r="A2985" s="13" t="s">
        <v>2622</v>
      </c>
      <c r="B2985" s="13" t="s">
        <v>2623</v>
      </c>
      <c r="C2985" s="13" t="s">
        <v>406</v>
      </c>
      <c r="D2985" s="13" t="s">
        <v>697</v>
      </c>
      <c r="E2985" s="13" t="s">
        <v>93</v>
      </c>
      <c r="F2985" s="13" t="s">
        <v>2624</v>
      </c>
      <c r="G2985" s="20" t="str">
        <f>HYPERLINK("http://semena-nn.ru/catalog/38/1285687","Фото")</f>
        <v>Фото</v>
      </c>
      <c r="H2985" s="18">
        <v>17.8</v>
      </c>
      <c r="I2985" s="27"/>
      <c r="J2985" s="13">
        <f>H2985*I2985</f>
        <v>0</v>
      </c>
    </row>
    <row r="2986" spans="1:10" ht="12" customHeight="1">
      <c r="A2986" s="13" t="s">
        <v>5817</v>
      </c>
      <c r="B2986" s="13" t="s">
        <v>5818</v>
      </c>
      <c r="C2986" s="13" t="s">
        <v>208</v>
      </c>
      <c r="D2986" s="13" t="s">
        <v>5136</v>
      </c>
      <c r="E2986" s="13" t="s">
        <v>93</v>
      </c>
      <c r="F2986" s="13" t="s">
        <v>5819</v>
      </c>
      <c r="G2986" s="20" t="str">
        <f>HYPERLINK("https://semena-nn.ru/catalog/53/888000000299","Фото")</f>
        <v>Фото</v>
      </c>
      <c r="H2986" s="15">
        <v>67</v>
      </c>
      <c r="I2986" s="27"/>
      <c r="J2986" s="13">
        <f>H2986*I2986</f>
        <v>0</v>
      </c>
    </row>
    <row r="2987" spans="1:10" ht="12" customHeight="1">
      <c r="A2987" s="13" t="s">
        <v>4968</v>
      </c>
      <c r="B2987" s="13" t="s">
        <v>4969</v>
      </c>
      <c r="C2987" s="13" t="s">
        <v>696</v>
      </c>
      <c r="D2987" s="13" t="s">
        <v>3475</v>
      </c>
      <c r="E2987" s="13" t="s">
        <v>93</v>
      </c>
      <c r="F2987" s="13" t="s">
        <v>4970</v>
      </c>
      <c r="G2987" s="20" t="str">
        <f>HYPERLINK("https://semena-nn.ru/catalog/38/1309664","Фото")</f>
        <v>Фото</v>
      </c>
      <c r="H2987" s="19">
        <v>15.75</v>
      </c>
      <c r="I2987" s="27"/>
      <c r="J2987" s="13">
        <f>H2987*I2987</f>
        <v>0</v>
      </c>
    </row>
    <row r="2988" spans="1:10" ht="12" customHeight="1">
      <c r="A2988" s="13" t="s">
        <v>2625</v>
      </c>
      <c r="B2988" s="13" t="s">
        <v>2626</v>
      </c>
      <c r="C2988" s="13" t="s">
        <v>696</v>
      </c>
      <c r="D2988" s="13" t="s">
        <v>697</v>
      </c>
      <c r="E2988" s="13" t="s">
        <v>93</v>
      </c>
      <c r="F2988" s="13" t="s">
        <v>2627</v>
      </c>
      <c r="G2988" s="20" t="str">
        <f>HYPERLINK("https://semena-nn.ru/catalog/38/1308667","Фото")</f>
        <v>Фото</v>
      </c>
      <c r="H2988" s="18">
        <v>17.8</v>
      </c>
      <c r="I2988" s="27"/>
      <c r="J2988" s="13">
        <f>H2988*I2988</f>
        <v>0</v>
      </c>
    </row>
    <row r="2989" spans="1:10" ht="12" customHeight="1">
      <c r="A2989" s="13" t="s">
        <v>4971</v>
      </c>
      <c r="B2989" s="13" t="s">
        <v>4972</v>
      </c>
      <c r="C2989" s="13" t="s">
        <v>696</v>
      </c>
      <c r="D2989" s="13" t="s">
        <v>3475</v>
      </c>
      <c r="E2989" s="13" t="s">
        <v>93</v>
      </c>
      <c r="F2989" s="13" t="s">
        <v>4973</v>
      </c>
      <c r="G2989" s="20" t="str">
        <f>HYPERLINK("https://semena-nn.ru/catalog/38/1125214","Фото")</f>
        <v>Фото</v>
      </c>
      <c r="H2989" s="18">
        <v>18.7</v>
      </c>
      <c r="I2989" s="27"/>
      <c r="J2989" s="13">
        <f>H2989*I2989</f>
        <v>0</v>
      </c>
    </row>
    <row r="2990" spans="1:10" ht="12" customHeight="1">
      <c r="A2990" s="13" t="s">
        <v>8312</v>
      </c>
      <c r="B2990" s="13" t="s">
        <v>8313</v>
      </c>
      <c r="C2990" s="13" t="s">
        <v>696</v>
      </c>
      <c r="D2990" s="13" t="s">
        <v>7728</v>
      </c>
      <c r="E2990" s="13" t="s">
        <v>93</v>
      </c>
      <c r="F2990" s="13" t="s">
        <v>8314</v>
      </c>
      <c r="G2990" s="20" t="str">
        <f>HYPERLINK("https://semena-nn.ru/catalog/38/1308162","Фото")</f>
        <v>Фото</v>
      </c>
      <c r="H2990" s="19">
        <v>22.65</v>
      </c>
      <c r="I2990" s="27"/>
      <c r="J2990" s="13">
        <f>H2990*I2990</f>
        <v>0</v>
      </c>
    </row>
    <row r="2991" spans="1:10" ht="12" customHeight="1">
      <c r="A2991" s="13" t="s">
        <v>8974</v>
      </c>
      <c r="B2991" s="13" t="s">
        <v>8975</v>
      </c>
      <c r="C2991" s="13" t="s">
        <v>406</v>
      </c>
      <c r="D2991" s="13" t="s">
        <v>8717</v>
      </c>
      <c r="E2991" s="13" t="s">
        <v>93</v>
      </c>
      <c r="F2991" s="17" t="s">
        <v>8976</v>
      </c>
      <c r="G2991" s="20" t="str">
        <f>HYPERLINK("https://semena-nn.ru/catalog/38/999000000522","Фото")</f>
        <v>Фото</v>
      </c>
      <c r="H2991" s="15">
        <v>19</v>
      </c>
      <c r="I2991" s="27"/>
      <c r="J2991" s="13">
        <f>H2991*I2991</f>
        <v>0</v>
      </c>
    </row>
    <row r="2992" spans="1:10" ht="12" customHeight="1">
      <c r="A2992" s="13" t="s">
        <v>2628</v>
      </c>
      <c r="B2992" s="13" t="s">
        <v>2629</v>
      </c>
      <c r="C2992" s="13" t="s">
        <v>696</v>
      </c>
      <c r="D2992" s="13" t="s">
        <v>697</v>
      </c>
      <c r="E2992" s="13" t="s">
        <v>93</v>
      </c>
      <c r="F2992" s="13" t="s">
        <v>2630</v>
      </c>
      <c r="G2992" s="20" t="str">
        <f>HYPERLINK("http://semena-nn.ru/catalog/38/1285524","Фото")</f>
        <v>Фото</v>
      </c>
      <c r="H2992" s="18">
        <v>21.8</v>
      </c>
      <c r="I2992" s="27"/>
      <c r="J2992" s="13">
        <f>H2992*I2992</f>
        <v>0</v>
      </c>
    </row>
    <row r="2993" spans="1:10" ht="12" customHeight="1">
      <c r="A2993" s="13" t="s">
        <v>5820</v>
      </c>
      <c r="B2993" s="13" t="s">
        <v>5821</v>
      </c>
      <c r="C2993" s="13" t="s">
        <v>406</v>
      </c>
      <c r="D2993" s="13" t="s">
        <v>5136</v>
      </c>
      <c r="E2993" s="13" t="s">
        <v>93</v>
      </c>
      <c r="F2993" s="13" t="s">
        <v>5822</v>
      </c>
      <c r="G2993" s="20" t="str">
        <f>HYPERLINK("https://semena-nn.ru/catalog/38/999000013276","Фото")</f>
        <v>Фото</v>
      </c>
      <c r="H2993" s="15">
        <v>120</v>
      </c>
      <c r="I2993" s="27"/>
      <c r="J2993" s="13">
        <f>H2993*I2993</f>
        <v>0</v>
      </c>
    </row>
    <row r="2994" spans="1:10" ht="12" customHeight="1">
      <c r="A2994" s="13" t="s">
        <v>3464</v>
      </c>
      <c r="B2994" s="13" t="s">
        <v>3465</v>
      </c>
      <c r="C2994" s="13" t="s">
        <v>274</v>
      </c>
      <c r="D2994" s="13" t="s">
        <v>697</v>
      </c>
      <c r="E2994" s="13" t="s">
        <v>3064</v>
      </c>
      <c r="F2994" s="13" t="s">
        <v>3466</v>
      </c>
      <c r="G2994" s="20" t="str">
        <f>HYPERLINK("http://semena-nn.ru/catalog/31/1314677","Фото")</f>
        <v>Фото</v>
      </c>
      <c r="H2994" s="19">
        <v>12.05</v>
      </c>
      <c r="I2994" s="27"/>
      <c r="J2994" s="13">
        <f>H2994*I2994</f>
        <v>0</v>
      </c>
    </row>
    <row r="2995" spans="1:10" ht="12" customHeight="1">
      <c r="A2995" s="13" t="s">
        <v>7720</v>
      </c>
      <c r="B2995" s="13" t="s">
        <v>7721</v>
      </c>
      <c r="C2995" s="13" t="s">
        <v>208</v>
      </c>
      <c r="D2995" s="13" t="s">
        <v>7148</v>
      </c>
      <c r="E2995" s="13" t="s">
        <v>93</v>
      </c>
      <c r="F2995" s="13" t="s">
        <v>7722</v>
      </c>
      <c r="G2995" s="20" t="str">
        <f>HYPERLINK("https://semena-nn.ru/catalog/53/999000013118","Фото")</f>
        <v>Фото</v>
      </c>
      <c r="H2995" s="18">
        <v>44.4</v>
      </c>
      <c r="I2995" s="27"/>
      <c r="J2995" s="13">
        <f>H2995*I2995</f>
        <v>0</v>
      </c>
    </row>
    <row r="2996" spans="1:10" ht="12" customHeight="1">
      <c r="A2996" s="13" t="s">
        <v>687</v>
      </c>
      <c r="B2996" s="13" t="s">
        <v>688</v>
      </c>
      <c r="C2996" s="13" t="s">
        <v>689</v>
      </c>
      <c r="D2996" s="13" t="s">
        <v>28</v>
      </c>
      <c r="E2996" s="13" t="s">
        <v>93</v>
      </c>
      <c r="F2996" s="13" t="s">
        <v>690</v>
      </c>
      <c r="G2996" s="20" t="str">
        <f>HYPERLINK("https://semena-nn.ru/catalog/21/999000009633","Фото")</f>
        <v>Фото</v>
      </c>
      <c r="H2996" s="19">
        <v>29.09</v>
      </c>
      <c r="I2996" s="27"/>
      <c r="J2996" s="13">
        <f>H2996*I2996</f>
        <v>0</v>
      </c>
    </row>
    <row r="2997" spans="1:10" ht="12" customHeight="1">
      <c r="A2997" s="13" t="s">
        <v>691</v>
      </c>
      <c r="B2997" s="13" t="s">
        <v>692</v>
      </c>
      <c r="C2997" s="13" t="s">
        <v>689</v>
      </c>
      <c r="D2997" s="13" t="s">
        <v>28</v>
      </c>
      <c r="E2997" s="13" t="s">
        <v>93</v>
      </c>
      <c r="F2997" s="13" t="s">
        <v>693</v>
      </c>
      <c r="G2997" s="20" t="str">
        <f>HYPERLINK("https://semena-nn.ru/catalog/21/999000011189","Фото")</f>
        <v>Фото</v>
      </c>
      <c r="H2997" s="19">
        <v>29.09</v>
      </c>
      <c r="I2997" s="27"/>
      <c r="J2997" s="13">
        <f>H2997*I2997</f>
        <v>0</v>
      </c>
    </row>
    <row r="2998" spans="1:10" ht="12" customHeight="1">
      <c r="A2998" s="13" t="s">
        <v>7723</v>
      </c>
      <c r="B2998" s="13" t="s">
        <v>7724</v>
      </c>
      <c r="C2998" s="13" t="s">
        <v>208</v>
      </c>
      <c r="D2998" s="13" t="s">
        <v>7148</v>
      </c>
      <c r="E2998" s="13" t="s">
        <v>93</v>
      </c>
      <c r="F2998" s="13" t="s">
        <v>7725</v>
      </c>
      <c r="G2998" s="20" t="str">
        <f>HYPERLINK("https://semena-nn.ru/catalog/53/999000013119","Фото")</f>
        <v>Фото</v>
      </c>
      <c r="H2998" s="18">
        <v>48.2</v>
      </c>
      <c r="I2998" s="27"/>
      <c r="J2998" s="13">
        <f>H2998*I2998</f>
        <v>0</v>
      </c>
    </row>
    <row r="2999" spans="1:10" ht="12" customHeight="1">
      <c r="A2999" s="13" t="s">
        <v>5823</v>
      </c>
      <c r="B2999" s="13" t="s">
        <v>5824</v>
      </c>
      <c r="C2999" s="13" t="s">
        <v>208</v>
      </c>
      <c r="D2999" s="13" t="s">
        <v>5136</v>
      </c>
      <c r="E2999" s="13" t="s">
        <v>93</v>
      </c>
      <c r="F2999" s="13" t="s">
        <v>5825</v>
      </c>
      <c r="G2999" s="20" t="str">
        <f>HYPERLINK("https://semena-nn.ru/catalog/53/999000020421","Фото")</f>
        <v>Фото</v>
      </c>
      <c r="H2999" s="18">
        <v>44.5</v>
      </c>
      <c r="I2999" s="27"/>
      <c r="J2999" s="13">
        <f>H2999*I2999</f>
        <v>0</v>
      </c>
    </row>
    <row r="3000" spans="1:10" ht="12" customHeight="1">
      <c r="A3000" s="13" t="s">
        <v>4974</v>
      </c>
      <c r="B3000" s="13" t="s">
        <v>4975</v>
      </c>
      <c r="C3000" s="13" t="s">
        <v>208</v>
      </c>
      <c r="D3000" s="13" t="s">
        <v>3475</v>
      </c>
      <c r="E3000" s="13" t="s">
        <v>93</v>
      </c>
      <c r="F3000" s="13" t="s">
        <v>4976</v>
      </c>
      <c r="G3000" s="20" t="str">
        <f>HYPERLINK("https://semena-nn.ru/catalog/53/999000008714","Фото")</f>
        <v>Фото</v>
      </c>
      <c r="H3000" s="15">
        <v>65</v>
      </c>
      <c r="I3000" s="27"/>
      <c r="J3000" s="13">
        <f>H3000*I3000</f>
        <v>0</v>
      </c>
    </row>
    <row r="3001" spans="1:10" ht="12" customHeight="1">
      <c r="A3001" s="13" t="s">
        <v>3050</v>
      </c>
      <c r="B3001" s="13" t="s">
        <v>3051</v>
      </c>
      <c r="C3001" s="13" t="s">
        <v>3052</v>
      </c>
      <c r="D3001" s="13" t="s">
        <v>697</v>
      </c>
      <c r="E3001" s="13" t="s">
        <v>2636</v>
      </c>
      <c r="F3001" s="13" t="s">
        <v>3053</v>
      </c>
      <c r="G3001" s="20" t="str">
        <f>HYPERLINK("https://semena-nn.ru/catalog/51/92116","Фото")</f>
        <v>Фото</v>
      </c>
      <c r="H3001" s="18">
        <v>7.2</v>
      </c>
      <c r="I3001" s="27"/>
      <c r="J3001" s="13">
        <f>H3001*I3001</f>
        <v>0</v>
      </c>
    </row>
    <row r="3002" spans="1:10" ht="12" customHeight="1">
      <c r="A3002" s="13" t="s">
        <v>4977</v>
      </c>
      <c r="B3002" s="13" t="s">
        <v>4978</v>
      </c>
      <c r="C3002" s="13" t="s">
        <v>3052</v>
      </c>
      <c r="D3002" s="13" t="s">
        <v>3475</v>
      </c>
      <c r="E3002" s="13" t="s">
        <v>93</v>
      </c>
      <c r="F3002" s="13" t="s">
        <v>4979</v>
      </c>
      <c r="G3002" s="20" t="str">
        <f>HYPERLINK("http://semena-nn.ru/catalog/51/999000004110","Фото")</f>
        <v>Фото</v>
      </c>
      <c r="H3002" s="18">
        <v>21.5</v>
      </c>
      <c r="I3002" s="27"/>
      <c r="J3002" s="13">
        <f>H3002*I3002</f>
        <v>0</v>
      </c>
    </row>
    <row r="3003" spans="1:10" ht="12" customHeight="1">
      <c r="A3003" s="13" t="s">
        <v>3054</v>
      </c>
      <c r="B3003" s="13" t="s">
        <v>3055</v>
      </c>
      <c r="C3003" s="13" t="s">
        <v>3056</v>
      </c>
      <c r="D3003" s="13" t="s">
        <v>697</v>
      </c>
      <c r="E3003" s="13" t="s">
        <v>2636</v>
      </c>
      <c r="F3003" s="13" t="s">
        <v>3057</v>
      </c>
      <c r="G3003" s="20" t="str">
        <f>HYPERLINK("http://semena-nn.ru/catalog/52/3171","Фото")</f>
        <v>Фото</v>
      </c>
      <c r="H3003" s="19">
        <v>6.85</v>
      </c>
      <c r="I3003" s="27"/>
      <c r="J3003" s="13">
        <f>H3003*I3003</f>
        <v>0</v>
      </c>
    </row>
    <row r="3004" spans="1:10" ht="12" customHeight="1">
      <c r="A3004" s="13" t="s">
        <v>3058</v>
      </c>
      <c r="B3004" s="13" t="s">
        <v>3059</v>
      </c>
      <c r="C3004" s="13" t="s">
        <v>3056</v>
      </c>
      <c r="D3004" s="13" t="s">
        <v>697</v>
      </c>
      <c r="E3004" s="13" t="s">
        <v>2636</v>
      </c>
      <c r="F3004" s="13" t="s">
        <v>3060</v>
      </c>
      <c r="G3004" s="20" t="str">
        <f>HYPERLINK("http://semena-nn.ru/catalog/52/1125325","Фото")</f>
        <v>Фото</v>
      </c>
      <c r="H3004" s="19">
        <v>6.85</v>
      </c>
      <c r="I3004" s="27"/>
      <c r="J3004" s="13">
        <f>H3004*I3004</f>
        <v>0</v>
      </c>
    </row>
    <row r="3005" spans="1:10" ht="12" customHeight="1">
      <c r="A3005" s="13" t="s">
        <v>3061</v>
      </c>
      <c r="B3005" s="13" t="s">
        <v>3062</v>
      </c>
      <c r="C3005" s="13" t="s">
        <v>3056</v>
      </c>
      <c r="D3005" s="13" t="s">
        <v>697</v>
      </c>
      <c r="E3005" s="13" t="s">
        <v>2636</v>
      </c>
      <c r="F3005" s="13" t="s">
        <v>3063</v>
      </c>
      <c r="G3005" s="20" t="str">
        <f>HYPERLINK("https://semena-nn.ru/catalog/52/94320","Фото")</f>
        <v>Фото</v>
      </c>
      <c r="H3005" s="19">
        <v>6.85</v>
      </c>
      <c r="I3005" s="27"/>
      <c r="J3005" s="13">
        <f>H3005*I3005</f>
        <v>0</v>
      </c>
    </row>
    <row r="3006" spans="1:10" ht="12" customHeight="1">
      <c r="A3006" s="13" t="s">
        <v>3467</v>
      </c>
      <c r="B3006" s="13" t="s">
        <v>3468</v>
      </c>
      <c r="C3006" s="13" t="s">
        <v>696</v>
      </c>
      <c r="D3006" s="13" t="s">
        <v>697</v>
      </c>
      <c r="E3006" s="13" t="s">
        <v>3064</v>
      </c>
      <c r="F3006" s="17" t="s">
        <v>3469</v>
      </c>
      <c r="G3006" s="20" t="str">
        <f>HYPERLINK("http://semena-nn.ru/catalog/38/1314678","Фото")</f>
        <v>Фото</v>
      </c>
      <c r="H3006" s="19">
        <v>12.05</v>
      </c>
      <c r="I3006" s="27"/>
      <c r="J3006" s="13">
        <f>H3006*I3006</f>
        <v>0</v>
      </c>
    </row>
    <row r="3007" spans="1:10" ht="12" customHeight="1">
      <c r="A3007" s="13" t="s">
        <v>2631</v>
      </c>
      <c r="B3007" s="13" t="s">
        <v>2632</v>
      </c>
      <c r="C3007" s="13" t="s">
        <v>696</v>
      </c>
      <c r="D3007" s="13" t="s">
        <v>697</v>
      </c>
      <c r="E3007" s="13" t="s">
        <v>93</v>
      </c>
      <c r="F3007" s="13" t="s">
        <v>2633</v>
      </c>
      <c r="G3007" s="20" t="str">
        <f>HYPERLINK("https://semena-nn.ru/catalog/38/999000011027","Фото")</f>
        <v>Фото</v>
      </c>
      <c r="H3007" s="18">
        <v>17.8</v>
      </c>
      <c r="I3007" s="27"/>
      <c r="J3007" s="13">
        <f>H3007*I3007</f>
        <v>0</v>
      </c>
    </row>
    <row r="3008" spans="1:10" ht="12" customHeight="1">
      <c r="A3008" s="13" t="s">
        <v>3470</v>
      </c>
      <c r="B3008" s="13" t="s">
        <v>3471</v>
      </c>
      <c r="C3008" s="13" t="s">
        <v>825</v>
      </c>
      <c r="D3008" s="13" t="s">
        <v>697</v>
      </c>
      <c r="E3008" s="13" t="s">
        <v>3064</v>
      </c>
      <c r="F3008" s="13" t="s">
        <v>3472</v>
      </c>
      <c r="G3008" s="20" t="str">
        <f>HYPERLINK("http://semena-nn.ru/catalog/42/999000000568","Фото")</f>
        <v>Фото</v>
      </c>
      <c r="H3008" s="19">
        <v>12.65</v>
      </c>
      <c r="I3008" s="27"/>
      <c r="J3008" s="13">
        <f>H3008*I3008</f>
        <v>0</v>
      </c>
    </row>
    <row r="3009" spans="1:10" ht="12" customHeight="1">
      <c r="A3009" s="13" t="s">
        <v>5826</v>
      </c>
      <c r="B3009" s="13" t="s">
        <v>5827</v>
      </c>
      <c r="C3009" s="13" t="s">
        <v>208</v>
      </c>
      <c r="D3009" s="13" t="s">
        <v>5136</v>
      </c>
      <c r="E3009" s="13" t="s">
        <v>93</v>
      </c>
      <c r="F3009" s="13" t="s">
        <v>5828</v>
      </c>
      <c r="G3009" s="20" t="str">
        <f>HYPERLINK("https://semena-nn.ru/catalog/53/888000007563","Фото")</f>
        <v>Фото</v>
      </c>
      <c r="H3009" s="15">
        <v>67</v>
      </c>
      <c r="I3009" s="27"/>
      <c r="J3009" s="13">
        <f>H3009*I3009</f>
        <v>0</v>
      </c>
    </row>
    <row r="3010" spans="1:10" ht="12" customHeight="1">
      <c r="A3010" s="13" t="s">
        <v>5829</v>
      </c>
      <c r="B3010" s="13" t="s">
        <v>5830</v>
      </c>
      <c r="C3010" s="13" t="s">
        <v>671</v>
      </c>
      <c r="D3010" s="13" t="s">
        <v>5136</v>
      </c>
      <c r="E3010" s="13" t="s">
        <v>93</v>
      </c>
      <c r="F3010" s="13" t="s">
        <v>5831</v>
      </c>
      <c r="G3010" s="20" t="str">
        <f>HYPERLINK("https://semena-nn.ru/catalog/56/888000007564","Фото")</f>
        <v>Фото</v>
      </c>
      <c r="H3010" s="15">
        <v>34</v>
      </c>
      <c r="I3010" s="27"/>
      <c r="J3010" s="13">
        <f>H3010*I3010</f>
        <v>0</v>
      </c>
    </row>
  </sheetData>
  <sortState ref="A43:J3033">
    <sortCondition ref="B43:B3033"/>
  </sortState>
  <mergeCells count="8">
    <mergeCell ref="A12:B12"/>
    <mergeCell ref="A14:J14"/>
    <mergeCell ref="A15:J15"/>
    <mergeCell ref="A6:E6"/>
    <mergeCell ref="A8:B8"/>
    <mergeCell ref="A9:B9"/>
    <mergeCell ref="A10:B10"/>
    <mergeCell ref="A11:B11"/>
  </mergeCells>
  <pageMargins left="0.39370078740157483" right="0.39370078740157483" top="0.39370078740157483" bottom="0.39370078740157483" header="0" footer="0"/>
  <pageSetup paperSize="9" fitToHeight="0" pageOrder="overThenDown"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Evgeny</cp:lastModifiedBy>
  <dcterms:created xsi:type="dcterms:W3CDTF">2026-07-22T12:51:26Z</dcterms:created>
  <dcterms:modified xsi:type="dcterms:W3CDTF">2026-07-22T13:18:29Z</dcterms:modified>
</cp:coreProperties>
</file>